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pav levante\Desktop\podenzana29_04\"/>
    </mc:Choice>
  </mc:AlternateContent>
  <xr:revisionPtr revIDLastSave="0" documentId="13_ncr:1_{44F94075-C1B2-4529-ADF2-801133279514}" xr6:coauthVersionLast="47" xr6:coauthVersionMax="47" xr10:uidLastSave="{00000000-0000-0000-0000-000000000000}"/>
  <bookViews>
    <workbookView minimized="1" xWindow="1560" yWindow="1560" windowWidth="11520" windowHeight="7875" activeTab="1" xr2:uid="{00000000-000D-0000-FFFF-FFFF00000000}"/>
  </bookViews>
  <sheets>
    <sheet name="Fase1" sheetId="8" r:id="rId1"/>
    <sheet name="Fase2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9" l="1"/>
  <c r="G11" i="9"/>
  <c r="G10" i="9"/>
  <c r="G9" i="9"/>
  <c r="AF6" i="8"/>
  <c r="AF7" i="8"/>
  <c r="AF8" i="8"/>
  <c r="AF9" i="8"/>
  <c r="AF10" i="8"/>
  <c r="AF11" i="8"/>
  <c r="AF12" i="8"/>
  <c r="AF13" i="8"/>
  <c r="AF14" i="8"/>
  <c r="AF15" i="8"/>
  <c r="AF16" i="8"/>
  <c r="I12" i="8"/>
  <c r="I16" i="8" s="1"/>
  <c r="I11" i="8"/>
  <c r="I15" i="8" s="1"/>
  <c r="I10" i="8"/>
  <c r="I14" i="8" s="1"/>
  <c r="I9" i="8"/>
  <c r="I13" i="8" s="1"/>
  <c r="AH12" i="9" l="1"/>
  <c r="AG12" i="9"/>
  <c r="AF12" i="9"/>
  <c r="AE12" i="9"/>
  <c r="AH11" i="9"/>
  <c r="AG11" i="9"/>
  <c r="AF11" i="9"/>
  <c r="AE11" i="9"/>
  <c r="AH10" i="9"/>
  <c r="AG10" i="9"/>
  <c r="AF10" i="9"/>
  <c r="AE10" i="9"/>
  <c r="AH9" i="9"/>
  <c r="AG9" i="9"/>
  <c r="AF9" i="9"/>
  <c r="AE9" i="9"/>
  <c r="AH8" i="9"/>
  <c r="AG8" i="9"/>
  <c r="AF8" i="9"/>
  <c r="AE8" i="9"/>
  <c r="AH7" i="9"/>
  <c r="AG7" i="9"/>
  <c r="AF7" i="9"/>
  <c r="AE7" i="9"/>
  <c r="AH6" i="9"/>
  <c r="AG6" i="9"/>
  <c r="AF6" i="9"/>
  <c r="AE6" i="9"/>
  <c r="E6" i="9"/>
  <c r="E7" i="9" s="1"/>
  <c r="E8" i="9" s="1"/>
  <c r="E9" i="9" s="1"/>
  <c r="E10" i="9" s="1"/>
  <c r="E11" i="9" s="1"/>
  <c r="E12" i="9" s="1"/>
  <c r="AH5" i="9"/>
  <c r="AG5" i="9"/>
  <c r="AF5" i="9"/>
  <c r="AE5" i="9"/>
  <c r="AI16" i="8"/>
  <c r="AH16" i="8"/>
  <c r="AG16" i="8"/>
  <c r="N16" i="8"/>
  <c r="M16" i="8"/>
  <c r="AI15" i="8"/>
  <c r="AH15" i="8"/>
  <c r="AG15" i="8"/>
  <c r="N15" i="8"/>
  <c r="M15" i="8"/>
  <c r="AI14" i="8"/>
  <c r="AH14" i="8"/>
  <c r="AG14" i="8"/>
  <c r="N14" i="8"/>
  <c r="M14" i="8"/>
  <c r="AI13" i="8"/>
  <c r="AH13" i="8"/>
  <c r="AG13" i="8"/>
  <c r="N13" i="8"/>
  <c r="M13" i="8"/>
  <c r="AI12" i="8"/>
  <c r="AH12" i="8"/>
  <c r="AG12" i="8"/>
  <c r="N12" i="8"/>
  <c r="M12" i="8"/>
  <c r="AI11" i="8"/>
  <c r="AH11" i="8"/>
  <c r="AG11" i="8"/>
  <c r="N11" i="8"/>
  <c r="M11" i="8"/>
  <c r="AI10" i="8"/>
  <c r="AH10" i="8"/>
  <c r="AG10" i="8"/>
  <c r="N10" i="8"/>
  <c r="M10" i="8"/>
  <c r="AI9" i="8"/>
  <c r="AH9" i="8"/>
  <c r="AG9" i="8"/>
  <c r="N9" i="8"/>
  <c r="M9" i="8"/>
  <c r="AL14" i="8"/>
  <c r="C12" i="9" s="1"/>
  <c r="M5" i="9" s="1"/>
  <c r="AL13" i="8"/>
  <c r="AL12" i="8"/>
  <c r="C9" i="9" s="1"/>
  <c r="L8" i="9" s="1"/>
  <c r="AI8" i="8"/>
  <c r="AH8" i="8"/>
  <c r="AG8" i="8"/>
  <c r="N8" i="8"/>
  <c r="M8" i="8"/>
  <c r="AL11" i="8"/>
  <c r="C11" i="9" s="1"/>
  <c r="L6" i="9" s="1"/>
  <c r="M10" i="9" s="1"/>
  <c r="AI7" i="8"/>
  <c r="AH7" i="8"/>
  <c r="AG7" i="8"/>
  <c r="N7" i="8"/>
  <c r="M7" i="8"/>
  <c r="AL9" i="8"/>
  <c r="AL8" i="8"/>
  <c r="AL7" i="8"/>
  <c r="AL6" i="8"/>
  <c r="AI6" i="8"/>
  <c r="AH6" i="8"/>
  <c r="AG6" i="8"/>
  <c r="N6" i="8"/>
  <c r="M6" i="8"/>
  <c r="AI5" i="8"/>
  <c r="AH5" i="8"/>
  <c r="AG5" i="8"/>
  <c r="AF5" i="8"/>
  <c r="N5" i="8"/>
  <c r="M5" i="8"/>
  <c r="C8" i="9" l="1"/>
  <c r="M6" i="9" s="1"/>
  <c r="M9" i="9" s="1"/>
  <c r="AJ11" i="9" s="1"/>
  <c r="C5" i="9"/>
  <c r="L7" i="9" s="1"/>
  <c r="C6" i="9"/>
  <c r="M8" i="9" s="1"/>
  <c r="M11" i="9" s="1"/>
  <c r="C7" i="9"/>
  <c r="L5" i="9" s="1"/>
  <c r="L10" i="9" s="1"/>
  <c r="AJ10" i="9" s="1"/>
  <c r="C10" i="9"/>
  <c r="M7" i="9" s="1"/>
  <c r="L11" i="9" s="1"/>
  <c r="AJ8" i="9" s="1"/>
  <c r="AO7" i="8"/>
  <c r="AO9" i="8"/>
  <c r="AO10" i="8"/>
  <c r="AO14" i="8"/>
  <c r="AO12" i="8"/>
  <c r="AO11" i="8"/>
  <c r="AO8" i="8"/>
  <c r="AO13" i="8"/>
  <c r="AP9" i="8"/>
  <c r="AP7" i="8"/>
  <c r="AP13" i="8"/>
  <c r="AP14" i="8"/>
  <c r="AP6" i="8"/>
  <c r="AP12" i="8"/>
  <c r="AP8" i="8"/>
  <c r="AP11" i="8"/>
  <c r="AM11" i="8"/>
  <c r="AN8" i="8"/>
  <c r="AM6" i="8"/>
  <c r="AN14" i="8"/>
  <c r="AM7" i="8"/>
  <c r="AN9" i="8"/>
  <c r="AM9" i="8"/>
  <c r="AN6" i="8"/>
  <c r="AN12" i="8"/>
  <c r="AO6" i="8"/>
  <c r="AM8" i="8"/>
  <c r="AM14" i="8"/>
  <c r="AN7" i="8"/>
  <c r="AM12" i="8"/>
  <c r="AM13" i="8"/>
  <c r="AN13" i="8"/>
  <c r="AN11" i="8"/>
  <c r="AJ7" i="9" l="1"/>
  <c r="L9" i="9"/>
  <c r="AJ12" i="9" s="1"/>
  <c r="AJ9" i="9"/>
  <c r="M12" i="9"/>
  <c r="L12" i="9"/>
  <c r="AQ12" i="8"/>
  <c r="AQ7" i="8"/>
  <c r="AQ6" i="8"/>
  <c r="AQ8" i="8"/>
  <c r="AQ14" i="8"/>
  <c r="AQ9" i="8"/>
  <c r="AQ11" i="8"/>
  <c r="AQ13" i="8"/>
  <c r="AJ6" i="9" l="1"/>
  <c r="AJ5" i="9"/>
</calcChain>
</file>

<file path=xl/sharedStrings.xml><?xml version="1.0" encoding="utf-8"?>
<sst xmlns="http://schemas.openxmlformats.org/spreadsheetml/2006/main" count="285" uniqueCount="77">
  <si>
    <t>Campo</t>
  </si>
  <si>
    <t>P</t>
  </si>
  <si>
    <t>Gir.</t>
  </si>
  <si>
    <t>Gara</t>
  </si>
  <si>
    <t>Turno</t>
  </si>
  <si>
    <t>Ora</t>
  </si>
  <si>
    <t>-</t>
  </si>
  <si>
    <t>(</t>
  </si>
  <si>
    <t>;</t>
  </si>
  <si>
    <t>)</t>
  </si>
  <si>
    <t>GIRONE A</t>
  </si>
  <si>
    <t>GIRONE B</t>
  </si>
  <si>
    <t>CS1</t>
  </si>
  <si>
    <t>CS2</t>
  </si>
  <si>
    <t>Pf</t>
  </si>
  <si>
    <t>Ps</t>
  </si>
  <si>
    <t>Qp</t>
  </si>
  <si>
    <t>V</t>
  </si>
  <si>
    <t>V1</t>
  </si>
  <si>
    <t>V2</t>
  </si>
  <si>
    <t>PTA</t>
  </si>
  <si>
    <t>PTB</t>
  </si>
  <si>
    <t>1a</t>
  </si>
  <si>
    <t>2a</t>
  </si>
  <si>
    <t>3a</t>
  </si>
  <si>
    <t>4a</t>
  </si>
  <si>
    <t>CLASSIFICHE GIRONI</t>
  </si>
  <si>
    <t>Incontro</t>
  </si>
  <si>
    <t>Risultato</t>
  </si>
  <si>
    <t>5a</t>
  </si>
  <si>
    <t>6a</t>
  </si>
  <si>
    <t>7a</t>
  </si>
  <si>
    <t>8a</t>
  </si>
  <si>
    <t>S3</t>
  </si>
  <si>
    <t>SQUADRE PARTECIPANTI</t>
  </si>
  <si>
    <t>CALENDARIO GARE</t>
  </si>
  <si>
    <t>Class.</t>
  </si>
  <si>
    <t>CLASSIFICHE FINALI</t>
  </si>
  <si>
    <t>14A</t>
  </si>
  <si>
    <t>24A</t>
  </si>
  <si>
    <t>34A</t>
  </si>
  <si>
    <t>44A</t>
  </si>
  <si>
    <t>14B</t>
  </si>
  <si>
    <t>24B</t>
  </si>
  <si>
    <t>34B</t>
  </si>
  <si>
    <t>44B</t>
  </si>
  <si>
    <t>41F78</t>
  </si>
  <si>
    <t>41F56</t>
  </si>
  <si>
    <t>41F34</t>
  </si>
  <si>
    <t>41F12</t>
  </si>
  <si>
    <t>42F78</t>
  </si>
  <si>
    <t>42F56</t>
  </si>
  <si>
    <t>42F34</t>
  </si>
  <si>
    <t>42F12</t>
  </si>
  <si>
    <t>4sf-5/8-1</t>
  </si>
  <si>
    <t>4sf-5/8-2</t>
  </si>
  <si>
    <t>4sf-1/4-1</t>
  </si>
  <si>
    <t>4sf-1/4-2</t>
  </si>
  <si>
    <t>4f-7/8</t>
  </si>
  <si>
    <t>4f-5/6</t>
  </si>
  <si>
    <t>4f-3/4</t>
  </si>
  <si>
    <t>4f-1/2</t>
  </si>
  <si>
    <t>A</t>
  </si>
  <si>
    <t>B</t>
  </si>
  <si>
    <t>GRAND PRIX - 8 Squadre - 4 Campi</t>
  </si>
  <si>
    <t>P R I M A   F A S E</t>
  </si>
  <si>
    <t>S E C O N D A   F A S E</t>
  </si>
  <si>
    <t>Lunezia2</t>
  </si>
  <si>
    <t>Lunezia3</t>
  </si>
  <si>
    <t>SC. Pallavolo 1</t>
  </si>
  <si>
    <t>Podenzana</t>
  </si>
  <si>
    <t>SC. Pallavolo 2</t>
  </si>
  <si>
    <t>SC. Pallavolo 3</t>
  </si>
  <si>
    <t>Rainbow</t>
  </si>
  <si>
    <t>lunezia1</t>
  </si>
  <si>
    <t>S3  white</t>
  </si>
  <si>
    <t>S3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</si>
</sst>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6" x14ac:knownFonts="1">
    <font>
      <sz val="11"/>
      <color rgb="FF000000"/>
      <name val="Calibri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49" fontId="0" fillId="0" borderId="0" xfId="0" applyNumberFormat="1"/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/>
    <xf numFmtId="0" fontId="5" fillId="2" borderId="14" xfId="0" applyFont="1" applyFill="1" applyBorder="1"/>
    <xf numFmtId="0" fontId="5" fillId="2" borderId="15" xfId="0" applyFont="1" applyFill="1" applyBorder="1"/>
    <xf numFmtId="0" fontId="2" fillId="0" borderId="0" xfId="0" applyFont="1" applyAlignment="1">
      <alignment horizontal="center"/>
    </xf>
    <xf numFmtId="0" fontId="0" fillId="4" borderId="0" xfId="0" applyFill="1"/>
    <xf numFmtId="0" fontId="7" fillId="4" borderId="0" xfId="0" applyFont="1" applyFill="1"/>
    <xf numFmtId="0" fontId="11" fillId="0" borderId="0" xfId="0" applyFont="1"/>
    <xf numFmtId="0" fontId="8" fillId="0" borderId="0" xfId="0" applyFont="1"/>
    <xf numFmtId="0" fontId="6" fillId="4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2" fillId="8" borderId="18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0" borderId="0" xfId="0" applyFont="1"/>
    <xf numFmtId="0" fontId="5" fillId="2" borderId="28" xfId="0" applyFont="1" applyFill="1" applyBorder="1"/>
    <xf numFmtId="0" fontId="0" fillId="2" borderId="21" xfId="0" applyFill="1" applyBorder="1"/>
    <xf numFmtId="0" fontId="0" fillId="2" borderId="33" xfId="0" applyFill="1" applyBorder="1"/>
    <xf numFmtId="0" fontId="1" fillId="2" borderId="2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4" fillId="4" borderId="0" xfId="0" applyFont="1" applyFill="1"/>
    <xf numFmtId="0" fontId="8" fillId="4" borderId="0" xfId="0" applyFont="1" applyFill="1"/>
    <xf numFmtId="0" fontId="9" fillId="4" borderId="0" xfId="0" applyFont="1" applyFill="1"/>
    <xf numFmtId="0" fontId="2" fillId="0" borderId="0" xfId="0" applyFont="1"/>
    <xf numFmtId="49" fontId="0" fillId="4" borderId="0" xfId="0" applyNumberFormat="1" applyFill="1"/>
    <xf numFmtId="0" fontId="10" fillId="4" borderId="0" xfId="0" applyFont="1" applyFill="1"/>
    <xf numFmtId="0" fontId="1" fillId="4" borderId="0" xfId="0" applyFont="1" applyFill="1"/>
    <xf numFmtId="1" fontId="5" fillId="9" borderId="31" xfId="0" applyNumberFormat="1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2" fontId="5" fillId="9" borderId="25" xfId="0" applyNumberFormat="1" applyFont="1" applyFill="1" applyBorder="1" applyAlignment="1">
      <alignment horizontal="center"/>
    </xf>
    <xf numFmtId="0" fontId="2" fillId="9" borderId="27" xfId="0" applyFont="1" applyFill="1" applyBorder="1" applyAlignment="1">
      <alignment horizontal="right"/>
    </xf>
    <xf numFmtId="1" fontId="0" fillId="4" borderId="0" xfId="0" applyNumberFormat="1" applyFill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right"/>
    </xf>
    <xf numFmtId="0" fontId="4" fillId="3" borderId="18" xfId="0" applyFont="1" applyFill="1" applyBorder="1" applyAlignment="1">
      <alignment horizontal="center"/>
    </xf>
    <xf numFmtId="1" fontId="8" fillId="5" borderId="18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2" fillId="10" borderId="18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1" fillId="12" borderId="28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5" fillId="9" borderId="18" xfId="0" applyFont="1" applyFill="1" applyBorder="1"/>
    <xf numFmtId="1" fontId="5" fillId="9" borderId="39" xfId="0" applyNumberFormat="1" applyFont="1" applyFill="1" applyBorder="1" applyAlignment="1">
      <alignment horizontal="center"/>
    </xf>
    <xf numFmtId="0" fontId="5" fillId="9" borderId="40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2" fillId="9" borderId="37" xfId="0" applyFont="1" applyFill="1" applyBorder="1" applyAlignment="1">
      <alignment horizontal="center"/>
    </xf>
    <xf numFmtId="2" fontId="5" fillId="9" borderId="41" xfId="0" applyNumberFormat="1" applyFont="1" applyFill="1" applyBorder="1" applyAlignment="1">
      <alignment horizontal="center"/>
    </xf>
    <xf numFmtId="12" fontId="1" fillId="0" borderId="3" xfId="0" applyNumberFormat="1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/>
    </xf>
    <xf numFmtId="12" fontId="1" fillId="0" borderId="5" xfId="0" applyNumberFormat="1" applyFont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center"/>
    </xf>
    <xf numFmtId="12" fontId="1" fillId="0" borderId="7" xfId="0" applyNumberFormat="1" applyFont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/>
    </xf>
    <xf numFmtId="0" fontId="1" fillId="0" borderId="28" xfId="0" applyFont="1" applyBorder="1"/>
    <xf numFmtId="0" fontId="2" fillId="0" borderId="26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2" fontId="5" fillId="0" borderId="30" xfId="0" applyNumberFormat="1" applyFont="1" applyBorder="1" applyAlignment="1">
      <alignment horizontal="center"/>
    </xf>
    <xf numFmtId="0" fontId="1" fillId="0" borderId="14" xfId="0" applyFont="1" applyBorder="1"/>
    <xf numFmtId="0" fontId="2" fillId="0" borderId="5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/>
    </xf>
    <xf numFmtId="0" fontId="1" fillId="0" borderId="29" xfId="0" applyFont="1" applyBorder="1"/>
    <xf numFmtId="0" fontId="2" fillId="0" borderId="7" xfId="0" applyFont="1" applyBorder="1" applyAlignment="1">
      <alignment horizontal="left"/>
    </xf>
    <xf numFmtId="0" fontId="5" fillId="0" borderId="37" xfId="0" applyFont="1" applyBorder="1" applyAlignment="1">
      <alignment horizontal="center"/>
    </xf>
    <xf numFmtId="0" fontId="2" fillId="0" borderId="37" xfId="0" applyFont="1" applyBorder="1" applyAlignment="1">
      <alignment horizontal="right"/>
    </xf>
    <xf numFmtId="2" fontId="5" fillId="0" borderId="9" xfId="0" applyNumberFormat="1" applyFont="1" applyBorder="1" applyAlignment="1">
      <alignment horizontal="center"/>
    </xf>
    <xf numFmtId="0" fontId="1" fillId="0" borderId="13" xfId="0" applyFont="1" applyBorder="1"/>
    <xf numFmtId="0" fontId="2" fillId="0" borderId="3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2" fillId="0" borderId="38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0" fontId="1" fillId="0" borderId="15" xfId="0" applyFont="1" applyBorder="1"/>
    <xf numFmtId="12" fontId="1" fillId="0" borderId="32" xfId="0" applyNumberFormat="1" applyFont="1" applyBorder="1"/>
    <xf numFmtId="12" fontId="1" fillId="0" borderId="34" xfId="0" applyNumberFormat="1" applyFont="1" applyBorder="1"/>
    <xf numFmtId="12" fontId="1" fillId="0" borderId="35" xfId="0" applyNumberFormat="1" applyFont="1" applyBorder="1"/>
    <xf numFmtId="12" fontId="1" fillId="0" borderId="36" xfId="0" applyNumberFormat="1" applyFont="1" applyBorder="1"/>
    <xf numFmtId="0" fontId="5" fillId="0" borderId="3" xfId="0" applyFont="1" applyBorder="1"/>
    <xf numFmtId="0" fontId="1" fillId="0" borderId="38" xfId="0" applyFont="1" applyBorder="1" applyAlignment="1">
      <alignment horizontal="center"/>
    </xf>
    <xf numFmtId="0" fontId="0" fillId="0" borderId="38" xfId="0" applyBorder="1" applyAlignment="1">
      <alignment horizontal="center"/>
    </xf>
    <xf numFmtId="20" fontId="1" fillId="0" borderId="38" xfId="0" applyNumberFormat="1" applyFont="1" applyBorder="1" applyAlignment="1">
      <alignment horizontal="center"/>
    </xf>
    <xf numFmtId="0" fontId="2" fillId="0" borderId="38" xfId="0" applyFont="1" applyBorder="1"/>
    <xf numFmtId="0" fontId="1" fillId="0" borderId="22" xfId="0" applyFont="1" applyBorder="1" applyProtection="1">
      <protection locked="0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1" xfId="0" applyFont="1" applyBorder="1"/>
    <xf numFmtId="0" fontId="5" fillId="0" borderId="5" xfId="0" applyFont="1" applyBorder="1"/>
    <xf numFmtId="0" fontId="1" fillId="0" borderId="4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20" fontId="1" fillId="0" borderId="42" xfId="0" applyNumberFormat="1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 applyProtection="1">
      <protection locked="0"/>
    </xf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2" fillId="0" borderId="12" xfId="0" applyFont="1" applyBorder="1"/>
    <xf numFmtId="0" fontId="5" fillId="0" borderId="7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20" fontId="1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23" xfId="0" applyFont="1" applyBorder="1" applyProtection="1">
      <protection locked="0"/>
    </xf>
    <xf numFmtId="0" fontId="2" fillId="0" borderId="16" xfId="0" applyFont="1" applyBorder="1"/>
    <xf numFmtId="0" fontId="2" fillId="0" borderId="16" xfId="0" applyFont="1" applyBorder="1" applyProtection="1">
      <protection locked="0"/>
    </xf>
    <xf numFmtId="0" fontId="2" fillId="0" borderId="17" xfId="0" applyFont="1" applyBorder="1"/>
    <xf numFmtId="0" fontId="2" fillId="0" borderId="22" xfId="0" applyFont="1" applyBorder="1" applyProtection="1">
      <protection locked="0"/>
    </xf>
    <xf numFmtId="0" fontId="1" fillId="0" borderId="2" xfId="0" applyFont="1" applyBorder="1"/>
    <xf numFmtId="0" fontId="1" fillId="0" borderId="23" xfId="0" applyFont="1" applyBorder="1" applyProtection="1">
      <protection locked="0"/>
    </xf>
    <xf numFmtId="0" fontId="1" fillId="0" borderId="16" xfId="0" applyFont="1" applyBorder="1"/>
    <xf numFmtId="0" fontId="1" fillId="0" borderId="42" xfId="0" applyFont="1" applyBorder="1"/>
    <xf numFmtId="0" fontId="1" fillId="9" borderId="42" xfId="0" applyFont="1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20" fontId="1" fillId="9" borderId="42" xfId="0" applyNumberFormat="1" applyFont="1" applyFill="1" applyBorder="1" applyAlignment="1">
      <alignment horizontal="center"/>
    </xf>
    <xf numFmtId="0" fontId="2" fillId="9" borderId="42" xfId="0" applyFont="1" applyFill="1" applyBorder="1"/>
    <xf numFmtId="0" fontId="1" fillId="9" borderId="43" xfId="0" applyFont="1" applyFill="1" applyBorder="1" applyProtection="1">
      <protection locked="0"/>
    </xf>
    <xf numFmtId="0" fontId="1" fillId="9" borderId="2" xfId="0" applyFont="1" applyFill="1" applyBorder="1"/>
    <xf numFmtId="0" fontId="2" fillId="9" borderId="2" xfId="0" applyFont="1" applyFill="1" applyBorder="1" applyProtection="1">
      <protection locked="0"/>
    </xf>
    <xf numFmtId="0" fontId="2" fillId="9" borderId="2" xfId="0" applyFont="1" applyFill="1" applyBorder="1"/>
    <xf numFmtId="0" fontId="2" fillId="9" borderId="43" xfId="0" applyFont="1" applyFill="1" applyBorder="1" applyProtection="1">
      <protection locked="0"/>
    </xf>
    <xf numFmtId="0" fontId="5" fillId="9" borderId="3" xfId="0" applyFont="1" applyFill="1" applyBorder="1"/>
    <xf numFmtId="0" fontId="1" fillId="9" borderId="38" xfId="0" applyFont="1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20" fontId="1" fillId="9" borderId="38" xfId="0" applyNumberFormat="1" applyFont="1" applyFill="1" applyBorder="1" applyAlignment="1">
      <alignment horizontal="center"/>
    </xf>
    <xf numFmtId="0" fontId="2" fillId="9" borderId="38" xfId="0" applyFont="1" applyFill="1" applyBorder="1"/>
    <xf numFmtId="0" fontId="2" fillId="9" borderId="22" xfId="0" applyFont="1" applyFill="1" applyBorder="1" applyProtection="1">
      <protection locked="0"/>
    </xf>
    <xf numFmtId="0" fontId="2" fillId="9" borderId="10" xfId="0" applyFont="1" applyFill="1" applyBorder="1"/>
    <xf numFmtId="0" fontId="2" fillId="9" borderId="10" xfId="0" applyFont="1" applyFill="1" applyBorder="1" applyProtection="1">
      <protection locked="0"/>
    </xf>
    <xf numFmtId="0" fontId="1" fillId="9" borderId="10" xfId="0" applyFont="1" applyFill="1" applyBorder="1"/>
    <xf numFmtId="0" fontId="2" fillId="9" borderId="11" xfId="0" applyFont="1" applyFill="1" applyBorder="1"/>
    <xf numFmtId="0" fontId="5" fillId="9" borderId="5" xfId="0" applyFont="1" applyFill="1" applyBorder="1"/>
    <xf numFmtId="0" fontId="2" fillId="9" borderId="12" xfId="0" applyFont="1" applyFill="1" applyBorder="1"/>
    <xf numFmtId="0" fontId="5" fillId="9" borderId="7" xfId="0" applyFont="1" applyFill="1" applyBorder="1"/>
    <xf numFmtId="0" fontId="1" fillId="9" borderId="8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20" fontId="1" fillId="9" borderId="8" xfId="0" applyNumberFormat="1" applyFont="1" applyFill="1" applyBorder="1" applyAlignment="1">
      <alignment horizontal="center"/>
    </xf>
    <xf numFmtId="0" fontId="2" fillId="9" borderId="8" xfId="0" applyFont="1" applyFill="1" applyBorder="1"/>
    <xf numFmtId="0" fontId="2" fillId="9" borderId="23" xfId="0" applyFont="1" applyFill="1" applyBorder="1" applyProtection="1">
      <protection locked="0"/>
    </xf>
    <xf numFmtId="0" fontId="2" fillId="9" borderId="16" xfId="0" applyFont="1" applyFill="1" applyBorder="1"/>
    <xf numFmtId="0" fontId="2" fillId="9" borderId="16" xfId="0" applyFont="1" applyFill="1" applyBorder="1" applyProtection="1">
      <protection locked="0"/>
    </xf>
    <xf numFmtId="0" fontId="2" fillId="9" borderId="17" xfId="0" applyFont="1" applyFill="1" applyBorder="1"/>
    <xf numFmtId="0" fontId="5" fillId="9" borderId="24" xfId="0" applyFont="1" applyFill="1" applyBorder="1" applyAlignment="1">
      <alignment horizontal="center"/>
    </xf>
    <xf numFmtId="0" fontId="12" fillId="13" borderId="18" xfId="0" applyFont="1" applyFill="1" applyBorder="1"/>
    <xf numFmtId="0" fontId="14" fillId="0" borderId="3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" fillId="0" borderId="38" xfId="0" applyFont="1" applyBorder="1"/>
    <xf numFmtId="0" fontId="0" fillId="0" borderId="22" xfId="0" applyBorder="1" applyProtection="1">
      <protection locked="0"/>
    </xf>
    <xf numFmtId="0" fontId="1" fillId="0" borderId="10" xfId="0" quotePrefix="1" applyFont="1" applyBorder="1"/>
    <xf numFmtId="0" fontId="0" fillId="0" borderId="10" xfId="0" applyBorder="1" applyProtection="1">
      <protection locked="0"/>
    </xf>
    <xf numFmtId="0" fontId="1" fillId="0" borderId="10" xfId="0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/>
    <xf numFmtId="0" fontId="14" fillId="0" borderId="5" xfId="0" applyFont="1" applyBorder="1" applyAlignment="1">
      <alignment horizontal="center"/>
    </xf>
    <xf numFmtId="0" fontId="1" fillId="0" borderId="42" xfId="0" quotePrefix="1" applyFont="1" applyBorder="1" applyAlignment="1">
      <alignment horizontal="center"/>
    </xf>
    <xf numFmtId="0" fontId="0" fillId="0" borderId="43" xfId="0" applyBorder="1" applyProtection="1">
      <protection locked="0"/>
    </xf>
    <xf numFmtId="0" fontId="1" fillId="0" borderId="2" xfId="0" quotePrefix="1" applyFont="1" applyBorder="1"/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2" xfId="0" applyFont="1" applyBorder="1"/>
    <xf numFmtId="0" fontId="14" fillId="0" borderId="7" xfId="0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8" xfId="0" applyFont="1" applyBorder="1"/>
    <xf numFmtId="0" fontId="0" fillId="0" borderId="23" xfId="0" applyBorder="1" applyProtection="1">
      <protection locked="0"/>
    </xf>
    <xf numFmtId="0" fontId="1" fillId="0" borderId="16" xfId="0" quotePrefix="1" applyFont="1" applyBorder="1"/>
    <xf numFmtId="0" fontId="0" fillId="0" borderId="16" xfId="0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/>
    <xf numFmtId="0" fontId="14" fillId="9" borderId="3" xfId="0" applyFont="1" applyFill="1" applyBorder="1" applyAlignment="1">
      <alignment horizontal="center"/>
    </xf>
    <xf numFmtId="16" fontId="1" fillId="9" borderId="38" xfId="0" applyNumberFormat="1" applyFont="1" applyFill="1" applyBorder="1" applyAlignment="1">
      <alignment horizontal="center"/>
    </xf>
    <xf numFmtId="0" fontId="1" fillId="9" borderId="38" xfId="0" applyFont="1" applyFill="1" applyBorder="1"/>
    <xf numFmtId="0" fontId="0" fillId="9" borderId="22" xfId="0" applyFill="1" applyBorder="1" applyProtection="1">
      <protection locked="0"/>
    </xf>
    <xf numFmtId="0" fontId="1" fillId="9" borderId="10" xfId="0" quotePrefix="1" applyFont="1" applyFill="1" applyBorder="1"/>
    <xf numFmtId="0" fontId="0" fillId="9" borderId="10" xfId="0" applyFill="1" applyBorder="1" applyProtection="1">
      <protection locked="0"/>
    </xf>
    <xf numFmtId="0" fontId="14" fillId="9" borderId="5" xfId="0" applyFont="1" applyFill="1" applyBorder="1" applyAlignment="1">
      <alignment horizontal="center"/>
    </xf>
    <xf numFmtId="0" fontId="1" fillId="9" borderId="42" xfId="0" quotePrefix="1" applyFont="1" applyFill="1" applyBorder="1" applyAlignment="1">
      <alignment horizontal="center"/>
    </xf>
    <xf numFmtId="0" fontId="1" fillId="9" borderId="42" xfId="0" applyFont="1" applyFill="1" applyBorder="1"/>
    <xf numFmtId="0" fontId="0" fillId="9" borderId="43" xfId="0" applyFill="1" applyBorder="1" applyProtection="1">
      <protection locked="0"/>
    </xf>
    <xf numFmtId="0" fontId="1" fillId="9" borderId="2" xfId="0" quotePrefix="1" applyFont="1" applyFill="1" applyBorder="1"/>
    <xf numFmtId="0" fontId="0" fillId="9" borderId="2" xfId="0" applyFill="1" applyBorder="1" applyProtection="1">
      <protection locked="0"/>
    </xf>
    <xf numFmtId="164" fontId="1" fillId="9" borderId="42" xfId="0" applyNumberFormat="1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164" fontId="1" fillId="9" borderId="8" xfId="0" applyNumberFormat="1" applyFont="1" applyFill="1" applyBorder="1" applyAlignment="1">
      <alignment horizontal="center"/>
    </xf>
    <xf numFmtId="0" fontId="1" fillId="9" borderId="8" xfId="0" quotePrefix="1" applyFont="1" applyFill="1" applyBorder="1" applyAlignment="1">
      <alignment horizontal="center"/>
    </xf>
    <xf numFmtId="0" fontId="1" fillId="9" borderId="8" xfId="0" applyFont="1" applyFill="1" applyBorder="1"/>
    <xf numFmtId="0" fontId="0" fillId="9" borderId="23" xfId="0" applyFill="1" applyBorder="1" applyProtection="1">
      <protection locked="0"/>
    </xf>
    <xf numFmtId="0" fontId="1" fillId="9" borderId="16" xfId="0" quotePrefix="1" applyFont="1" applyFill="1" applyBorder="1"/>
    <xf numFmtId="0" fontId="0" fillId="9" borderId="16" xfId="0" applyFill="1" applyBorder="1" applyProtection="1">
      <protection locked="0"/>
    </xf>
    <xf numFmtId="0" fontId="1" fillId="9" borderId="16" xfId="0" applyFont="1" applyFill="1" applyBorder="1"/>
    <xf numFmtId="0" fontId="1" fillId="9" borderId="11" xfId="0" applyFont="1" applyFill="1" applyBorder="1"/>
    <xf numFmtId="0" fontId="1" fillId="9" borderId="12" xfId="0" applyFont="1" applyFill="1" applyBorder="1"/>
    <xf numFmtId="0" fontId="1" fillId="9" borderId="17" xfId="0" applyFont="1" applyFill="1" applyBorder="1"/>
    <xf numFmtId="1" fontId="15" fillId="0" borderId="36" xfId="0" applyNumberFormat="1" applyFont="1" applyBorder="1" applyAlignment="1" applyProtection="1">
      <alignment horizontal="center"/>
      <protection locked="0"/>
    </xf>
    <xf numFmtId="1" fontId="15" fillId="0" borderId="34" xfId="0" applyNumberFormat="1" applyFont="1" applyBorder="1" applyAlignment="1" applyProtection="1">
      <alignment horizontal="center"/>
      <protection locked="0"/>
    </xf>
    <xf numFmtId="1" fontId="15" fillId="0" borderId="35" xfId="0" applyNumberFormat="1" applyFont="1" applyBorder="1" applyAlignment="1" applyProtection="1">
      <alignment horizontal="center"/>
      <protection locked="0"/>
    </xf>
    <xf numFmtId="1" fontId="15" fillId="0" borderId="32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3" borderId="18" xfId="0" applyFon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" fontId="8" fillId="5" borderId="18" xfId="0" applyNumberFormat="1" applyFont="1" applyFill="1" applyBorder="1" applyAlignment="1">
      <alignment horizontal="center"/>
    </xf>
    <xf numFmtId="49" fontId="0" fillId="0" borderId="19" xfId="0" applyNumberFormat="1" applyBorder="1"/>
    <xf numFmtId="49" fontId="0" fillId="0" borderId="20" xfId="0" applyNumberFormat="1" applyBorder="1"/>
    <xf numFmtId="0" fontId="4" fillId="3" borderId="19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2" fillId="14" borderId="24" xfId="0" applyFont="1" applyFill="1" applyBorder="1" applyAlignment="1">
      <alignment horizontal="center"/>
    </xf>
    <xf numFmtId="0" fontId="12" fillId="14" borderId="25" xfId="0" applyFont="1" applyFill="1" applyBorder="1" applyAlignment="1">
      <alignment horizontal="center"/>
    </xf>
    <xf numFmtId="0" fontId="12" fillId="14" borderId="27" xfId="0" applyFont="1" applyFill="1" applyBorder="1" applyAlignment="1">
      <alignment horizontal="center"/>
    </xf>
    <xf numFmtId="164" fontId="12" fillId="14" borderId="27" xfId="0" applyNumberFormat="1" applyFont="1" applyFill="1" applyBorder="1" applyAlignment="1">
      <alignment horizontal="right"/>
    </xf>
    <xf numFmtId="164" fontId="12" fillId="14" borderId="27" xfId="0" applyNumberFormat="1" applyFont="1" applyFill="1" applyBorder="1" applyAlignment="1">
      <alignment horizontal="center"/>
    </xf>
    <xf numFmtId="0" fontId="12" fillId="14" borderId="27" xfId="0" applyFont="1" applyFill="1" applyBorder="1"/>
    <xf numFmtId="0" fontId="12" fillId="14" borderId="27" xfId="0" applyFont="1" applyFill="1" applyBorder="1" applyAlignment="1">
      <alignment horizontal="center"/>
    </xf>
    <xf numFmtId="49" fontId="12" fillId="14" borderId="27" xfId="0" applyNumberFormat="1" applyFont="1" applyFill="1" applyBorder="1" applyAlignment="1">
      <alignment horizontal="center"/>
    </xf>
    <xf numFmtId="17" fontId="12" fillId="14" borderId="27" xfId="0" applyNumberFormat="1" applyFont="1" applyFill="1" applyBorder="1" applyAlignment="1">
      <alignment horizontal="center"/>
    </xf>
    <xf numFmtId="49" fontId="12" fillId="14" borderId="25" xfId="0" applyNumberFormat="1" applyFont="1" applyFill="1" applyBorder="1" applyAlignment="1">
      <alignment horizontal="center"/>
    </xf>
    <xf numFmtId="0" fontId="12" fillId="14" borderId="18" xfId="0" applyFont="1" applyFill="1" applyBorder="1"/>
    <xf numFmtId="0" fontId="12" fillId="14" borderId="19" xfId="0" applyFont="1" applyFill="1" applyBorder="1" applyAlignment="1">
      <alignment horizontal="center"/>
    </xf>
    <xf numFmtId="0" fontId="12" fillId="14" borderId="19" xfId="0" applyFont="1" applyFill="1" applyBorder="1"/>
    <xf numFmtId="0" fontId="12" fillId="14" borderId="20" xfId="0" applyFont="1" applyFill="1" applyBorder="1"/>
    <xf numFmtId="0" fontId="12" fillId="14" borderId="31" xfId="0" applyFont="1" applyFill="1" applyBorder="1" applyAlignment="1">
      <alignment horizontal="center"/>
    </xf>
    <xf numFmtId="0" fontId="0" fillId="14" borderId="18" xfId="0" applyFill="1" applyBorder="1"/>
    <xf numFmtId="0" fontId="10" fillId="14" borderId="19" xfId="0" applyFont="1" applyFill="1" applyBorder="1"/>
    <xf numFmtId="0" fontId="10" fillId="14" borderId="20" xfId="0" applyFont="1" applyFill="1" applyBorder="1"/>
  </cellXfs>
  <cellStyles count="1">
    <cellStyle name="Normale" xfId="0" builtinId="0"/>
  </cellStyles>
  <dxfs count="1">
    <dxf>
      <font>
        <color theme="0"/>
      </font>
    </dxf>
  </dxfs>
  <tableStyles count="0" defaultTableStyle="TableStyleMedium9"/>
  <colors>
    <mruColors>
      <color rgb="FFFFFF99"/>
      <color rgb="FF66FF33"/>
      <color rgb="FFFFFF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480060</xdr:colOff>
      <xdr:row>0</xdr:row>
      <xdr:rowOff>0</xdr:rowOff>
    </xdr:from>
    <xdr:to>
      <xdr:col>2</xdr:col>
      <xdr:colOff>876300</xdr:colOff>
      <xdr:row>1</xdr:row>
      <xdr:rowOff>185432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0"/>
          <a:ext cx="396240" cy="37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502921</xdr:colOff>
      <xdr:row>0</xdr:row>
      <xdr:rowOff>0</xdr:rowOff>
    </xdr:from>
    <xdr:to>
      <xdr:col>2</xdr:col>
      <xdr:colOff>899161</xdr:colOff>
      <xdr:row>1</xdr:row>
      <xdr:rowOff>185432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1" y="0"/>
          <a:ext cx="396240" cy="375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8"/>
  <sheetViews>
    <sheetView showGridLines="0" zoomScaleNormal="100" workbookViewId="0">
      <selection activeCell="AK9" sqref="AK9"/>
    </sheetView>
  </sheetViews>
  <sheetFormatPr defaultColWidth="0" defaultRowHeight="0" customHeight="1" zeroHeight="1" x14ac:dyDescent="0.25"/>
  <cols>
    <col min="1" max="1" width="1.7109375" style="1" customWidth="1"/>
    <col min="2" max="2" width="3" style="3" hidden="1" customWidth="1"/>
    <col min="3" max="3" width="20.7109375" style="1" customWidth="1"/>
    <col min="4" max="4" width="6.85546875" style="1" bestFit="1" customWidth="1"/>
    <col min="5" max="5" width="1.7109375" style="1" customWidth="1"/>
    <col min="6" max="6" width="4.85546875" style="1" bestFit="1" customWidth="1"/>
    <col min="7" max="7" width="3.28515625" style="1" bestFit="1" customWidth="1"/>
    <col min="8" max="8" width="5.7109375" style="3" customWidth="1"/>
    <col min="9" max="9" width="6.28515625" style="2" customWidth="1"/>
    <col min="10" max="10" width="5.85546875" style="3" customWidth="1"/>
    <col min="11" max="11" width="4.5703125" style="1" hidden="1" customWidth="1"/>
    <col min="12" max="12" width="4.140625" style="1" hidden="1" customWidth="1"/>
    <col min="13" max="14" width="20.7109375" style="1" customWidth="1"/>
    <col min="15" max="17" width="2" style="1" bestFit="1" customWidth="1"/>
    <col min="18" max="18" width="1.5703125" style="1" bestFit="1" customWidth="1"/>
    <col min="19" max="19" width="3" style="1" bestFit="1" customWidth="1"/>
    <col min="20" max="20" width="1.7109375" style="1" bestFit="1" customWidth="1"/>
    <col min="21" max="21" width="3" style="1" bestFit="1" customWidth="1"/>
    <col min="22" max="22" width="1.5703125" style="1" hidden="1" customWidth="1"/>
    <col min="23" max="23" width="3" style="1" hidden="1" customWidth="1"/>
    <col min="24" max="24" width="1.7109375" style="1" hidden="1" customWidth="1"/>
    <col min="25" max="25" width="3" style="1" hidden="1" customWidth="1"/>
    <col min="26" max="26" width="1.5703125" style="1" hidden="1" customWidth="1"/>
    <col min="27" max="27" width="3" style="1" hidden="1" customWidth="1"/>
    <col min="28" max="28" width="1.7109375" style="1" hidden="1" customWidth="1"/>
    <col min="29" max="29" width="3" style="1" hidden="1" customWidth="1"/>
    <col min="30" max="30" width="1.7109375" style="1" bestFit="1" customWidth="1"/>
    <col min="31" max="31" width="1.7109375" style="1" customWidth="1"/>
    <col min="32" max="33" width="3.28515625" style="1" hidden="1" customWidth="1"/>
    <col min="34" max="34" width="4.42578125" style="1" hidden="1" customWidth="1"/>
    <col min="35" max="35" width="3.7109375" style="1" hidden="1" customWidth="1"/>
    <col min="36" max="36" width="4.140625" style="1" hidden="1" customWidth="1"/>
    <col min="37" max="37" width="5.7109375" style="1" bestFit="1" customWidth="1"/>
    <col min="38" max="38" width="20.7109375" style="1" customWidth="1"/>
    <col min="39" max="39" width="4.42578125" style="1" customWidth="1"/>
    <col min="40" max="40" width="4.7109375" style="1" customWidth="1"/>
    <col min="41" max="42" width="4.28515625" style="1" customWidth="1"/>
    <col min="43" max="43" width="5.5703125" style="1" customWidth="1"/>
    <col min="44" max="44" width="1.7109375" style="32" customWidth="1"/>
    <col min="45" max="16384" width="8.85546875" style="1" hidden="1"/>
  </cols>
  <sheetData>
    <row r="1" spans="2:253" s="5" customFormat="1" ht="15.75" thickBot="1" x14ac:dyDescent="0.3">
      <c r="B1" s="43"/>
      <c r="C1" s="202"/>
      <c r="D1" s="204" t="s">
        <v>64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6"/>
      <c r="AR1" s="28"/>
    </row>
    <row r="2" spans="2:253" s="12" customFormat="1" ht="15.75" thickBot="1" x14ac:dyDescent="0.3">
      <c r="B2" s="44"/>
      <c r="C2" s="203"/>
      <c r="D2" s="207" t="s">
        <v>65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9"/>
      <c r="AR2" s="29"/>
    </row>
    <row r="3" spans="2:253" customFormat="1" ht="15.75" thickBot="1" x14ac:dyDescent="0.3">
      <c r="B3" s="3"/>
      <c r="C3" s="13" t="s">
        <v>34</v>
      </c>
      <c r="D3" s="30"/>
      <c r="E3" s="10"/>
      <c r="F3" s="10"/>
      <c r="G3" s="10"/>
      <c r="H3" s="14" t="s">
        <v>35</v>
      </c>
      <c r="I3" s="2"/>
      <c r="J3" s="3"/>
      <c r="K3" s="1"/>
      <c r="L3" s="1"/>
      <c r="M3" s="1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31"/>
      <c r="AF3" s="31" t="s">
        <v>18</v>
      </c>
      <c r="AG3" s="31" t="s">
        <v>19</v>
      </c>
      <c r="AH3" s="31" t="s">
        <v>20</v>
      </c>
      <c r="AI3" s="31" t="s">
        <v>21</v>
      </c>
      <c r="AJ3" s="1"/>
      <c r="AK3" s="1"/>
      <c r="AL3" s="4" t="s">
        <v>26</v>
      </c>
      <c r="AM3" s="1"/>
      <c r="AN3" s="1"/>
      <c r="AO3" s="1"/>
      <c r="AP3" s="1"/>
      <c r="AQ3" s="1"/>
      <c r="AR3" s="32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2:253" customFormat="1" ht="15.75" thickBot="1" x14ac:dyDescent="0.3">
      <c r="B4" s="46" t="s">
        <v>33</v>
      </c>
      <c r="C4" s="213" t="s">
        <v>75</v>
      </c>
      <c r="D4" s="214" t="s">
        <v>2</v>
      </c>
      <c r="E4" s="33"/>
      <c r="F4" s="213" t="s">
        <v>3</v>
      </c>
      <c r="G4" s="215" t="s">
        <v>2</v>
      </c>
      <c r="H4" s="216" t="s">
        <v>4</v>
      </c>
      <c r="I4" s="217" t="s">
        <v>5</v>
      </c>
      <c r="J4" s="215" t="s">
        <v>0</v>
      </c>
      <c r="K4" s="218" t="s">
        <v>12</v>
      </c>
      <c r="L4" s="218" t="s">
        <v>13</v>
      </c>
      <c r="M4" s="219" t="s">
        <v>27</v>
      </c>
      <c r="N4" s="220"/>
      <c r="O4" s="221" t="s">
        <v>28</v>
      </c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2"/>
      <c r="AE4" s="31"/>
      <c r="AF4" s="31"/>
      <c r="AG4" s="31"/>
      <c r="AH4" s="1"/>
      <c r="AI4" s="1"/>
      <c r="AJ4" s="149" t="s">
        <v>33</v>
      </c>
      <c r="AK4" s="223"/>
      <c r="AL4" s="224" t="s">
        <v>76</v>
      </c>
      <c r="AM4" s="225"/>
      <c r="AN4" s="225"/>
      <c r="AO4" s="225"/>
      <c r="AP4" s="225"/>
      <c r="AQ4" s="226"/>
      <c r="AR4" s="32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2:253" customFormat="1" ht="15.75" thickBot="1" x14ac:dyDescent="0.3">
      <c r="B5" s="49">
        <v>1</v>
      </c>
      <c r="C5" s="57" t="s">
        <v>69</v>
      </c>
      <c r="D5" s="58" t="s">
        <v>62</v>
      </c>
      <c r="E5" s="34"/>
      <c r="F5" s="86">
        <v>1</v>
      </c>
      <c r="G5" s="87" t="s">
        <v>62</v>
      </c>
      <c r="H5" s="88">
        <v>1</v>
      </c>
      <c r="I5" s="89">
        <v>0.60416666666666663</v>
      </c>
      <c r="J5" s="88">
        <v>1</v>
      </c>
      <c r="K5" s="90">
        <v>1</v>
      </c>
      <c r="L5" s="90">
        <v>4</v>
      </c>
      <c r="M5" s="90" t="str">
        <f t="shared" ref="M5:M16" si="0">VLOOKUP(K5,$B$5:$C$17,2,FALSE)</f>
        <v>SC. Pallavolo 1</v>
      </c>
      <c r="N5" s="90" t="str">
        <f t="shared" ref="N5:N16" si="1">VLOOKUP(L5,$B$5:$C$17,2,FALSE)</f>
        <v>lunezia1</v>
      </c>
      <c r="O5" s="91">
        <v>1</v>
      </c>
      <c r="P5" s="92" t="s">
        <v>6</v>
      </c>
      <c r="Q5" s="93">
        <v>0</v>
      </c>
      <c r="R5" s="92" t="s">
        <v>7</v>
      </c>
      <c r="S5" s="93">
        <v>16</v>
      </c>
      <c r="T5" s="92" t="s">
        <v>6</v>
      </c>
      <c r="U5" s="93">
        <v>12</v>
      </c>
      <c r="V5" s="92" t="s">
        <v>8</v>
      </c>
      <c r="W5" s="93"/>
      <c r="X5" s="92" t="s">
        <v>6</v>
      </c>
      <c r="Y5" s="93"/>
      <c r="Z5" s="92" t="s">
        <v>8</v>
      </c>
      <c r="AA5" s="93"/>
      <c r="AB5" s="92" t="s">
        <v>6</v>
      </c>
      <c r="AC5" s="93"/>
      <c r="AD5" s="94" t="s">
        <v>9</v>
      </c>
      <c r="AE5" s="31"/>
      <c r="AF5" s="31">
        <f>IF(O5&gt;Q5,1,0)</f>
        <v>1</v>
      </c>
      <c r="AG5" s="31">
        <f>IF(Q5&gt;O5,1,0)</f>
        <v>0</v>
      </c>
      <c r="AH5" s="1">
        <f>S5+W5+AA5</f>
        <v>16</v>
      </c>
      <c r="AI5" s="1">
        <f>U5+Y5+AC5</f>
        <v>12</v>
      </c>
      <c r="AJ5" s="51"/>
      <c r="AK5" s="52" t="s">
        <v>36</v>
      </c>
      <c r="AL5" s="53" t="s">
        <v>10</v>
      </c>
      <c r="AM5" s="54" t="s">
        <v>1</v>
      </c>
      <c r="AN5" s="54" t="s">
        <v>17</v>
      </c>
      <c r="AO5" s="55" t="s">
        <v>14</v>
      </c>
      <c r="AP5" s="55" t="s">
        <v>15</v>
      </c>
      <c r="AQ5" s="56" t="s">
        <v>16</v>
      </c>
      <c r="AR5" s="32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2:253" customFormat="1" ht="15" x14ac:dyDescent="0.25">
      <c r="B6" s="50">
        <v>2</v>
      </c>
      <c r="C6" s="59" t="s">
        <v>70</v>
      </c>
      <c r="D6" s="60" t="s">
        <v>62</v>
      </c>
      <c r="E6" s="34"/>
      <c r="F6" s="95">
        <v>2</v>
      </c>
      <c r="G6" s="96" t="s">
        <v>62</v>
      </c>
      <c r="H6" s="97">
        <v>1</v>
      </c>
      <c r="I6" s="98">
        <v>0.60416666666666663</v>
      </c>
      <c r="J6" s="97">
        <v>2</v>
      </c>
      <c r="K6" s="99">
        <v>2</v>
      </c>
      <c r="L6" s="99">
        <v>3</v>
      </c>
      <c r="M6" s="99" t="str">
        <f t="shared" si="0"/>
        <v>Podenzana</v>
      </c>
      <c r="N6" s="99" t="str">
        <f t="shared" si="1"/>
        <v>SC. Pallavolo 2</v>
      </c>
      <c r="O6" s="100">
        <v>1</v>
      </c>
      <c r="P6" s="101" t="s">
        <v>6</v>
      </c>
      <c r="Q6" s="102">
        <v>0</v>
      </c>
      <c r="R6" s="101" t="s">
        <v>7</v>
      </c>
      <c r="S6" s="102">
        <v>22</v>
      </c>
      <c r="T6" s="101" t="s">
        <v>6</v>
      </c>
      <c r="U6" s="102">
        <v>8</v>
      </c>
      <c r="V6" s="101" t="s">
        <v>8</v>
      </c>
      <c r="W6" s="102"/>
      <c r="X6" s="101" t="s">
        <v>6</v>
      </c>
      <c r="Y6" s="102"/>
      <c r="Z6" s="101" t="s">
        <v>8</v>
      </c>
      <c r="AA6" s="102"/>
      <c r="AB6" s="101" t="s">
        <v>6</v>
      </c>
      <c r="AC6" s="102"/>
      <c r="AD6" s="103" t="s">
        <v>9</v>
      </c>
      <c r="AE6" s="31"/>
      <c r="AF6" s="31">
        <f t="shared" ref="AF6:AF16" si="2">IF(O6&gt;Q6,1,0)</f>
        <v>1</v>
      </c>
      <c r="AG6" s="31">
        <f t="shared" ref="AG6:AG16" si="3">IF(Q6&gt;O6,1,0)</f>
        <v>0</v>
      </c>
      <c r="AH6" s="1">
        <f t="shared" ref="AH6:AH16" si="4">S6+W6+AA6</f>
        <v>22</v>
      </c>
      <c r="AI6" s="1">
        <f t="shared" ref="AI6:AI16" si="5">U6+Y6+AC6</f>
        <v>8</v>
      </c>
      <c r="AJ6" s="63">
        <v>1</v>
      </c>
      <c r="AK6" s="198">
        <v>1</v>
      </c>
      <c r="AL6" s="64" t="str">
        <f>VLOOKUP(AJ6,$B$4:$C$17,2,FALSE)</f>
        <v>SC. Pallavolo 1</v>
      </c>
      <c r="AM6" s="65">
        <f>SUMIF($M$5:$M$16,AL6,$O$5:$O$16)+SUMIF($N$5:$N$16,AL6,$Q$5:$Q$16)</f>
        <v>3</v>
      </c>
      <c r="AN6" s="65">
        <f>SUMIF($M$5:$M$16,AL6,$AF$5:$AF$16)+SUMIF($N$5:$N$16,AL6,$AG$5:$AG$16)</f>
        <v>3</v>
      </c>
      <c r="AO6" s="66">
        <f>SUMIF($M$5:$M$16,AL6,$AH$5:$AH$16)+SUMIF($N$5:$N$16,AL6,$AI$5:$AI$16)</f>
        <v>48</v>
      </c>
      <c r="AP6" s="66">
        <f>SUMIF($M$5:$M$16,AL6,$AI$5:$AI$16)+SUMIF($N$5:$N$16,AL6,$AH$5:$AH$16)</f>
        <v>27</v>
      </c>
      <c r="AQ6" s="67">
        <f>AO6/AP6</f>
        <v>1.7777777777777777</v>
      </c>
      <c r="AR6" s="32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2:253" customFormat="1" ht="15" x14ac:dyDescent="0.25">
      <c r="B7" s="50">
        <v>3</v>
      </c>
      <c r="C7" s="59" t="s">
        <v>71</v>
      </c>
      <c r="D7" s="60" t="s">
        <v>62</v>
      </c>
      <c r="E7" s="34"/>
      <c r="F7" s="95">
        <v>3</v>
      </c>
      <c r="G7" s="96" t="s">
        <v>63</v>
      </c>
      <c r="H7" s="97">
        <v>1</v>
      </c>
      <c r="I7" s="98">
        <v>0.60416666666666663</v>
      </c>
      <c r="J7" s="97">
        <v>3</v>
      </c>
      <c r="K7" s="99">
        <v>5</v>
      </c>
      <c r="L7" s="99">
        <v>8</v>
      </c>
      <c r="M7" s="99" t="str">
        <f t="shared" si="0"/>
        <v>SC. Pallavolo 3</v>
      </c>
      <c r="N7" s="99" t="str">
        <f t="shared" si="1"/>
        <v>Lunezia3</v>
      </c>
      <c r="O7" s="100">
        <v>0</v>
      </c>
      <c r="P7" s="101" t="s">
        <v>6</v>
      </c>
      <c r="Q7" s="102">
        <v>1</v>
      </c>
      <c r="R7" s="101" t="s">
        <v>7</v>
      </c>
      <c r="S7" s="102">
        <v>10</v>
      </c>
      <c r="T7" s="101" t="s">
        <v>6</v>
      </c>
      <c r="U7" s="102">
        <v>14</v>
      </c>
      <c r="V7" s="101" t="s">
        <v>8</v>
      </c>
      <c r="W7" s="102"/>
      <c r="X7" s="101" t="s">
        <v>6</v>
      </c>
      <c r="Y7" s="102"/>
      <c r="Z7" s="101" t="s">
        <v>8</v>
      </c>
      <c r="AA7" s="102"/>
      <c r="AB7" s="101" t="s">
        <v>6</v>
      </c>
      <c r="AC7" s="102"/>
      <c r="AD7" s="103" t="s">
        <v>9</v>
      </c>
      <c r="AE7" s="31"/>
      <c r="AF7" s="31">
        <f t="shared" si="2"/>
        <v>0</v>
      </c>
      <c r="AG7" s="31">
        <f t="shared" si="3"/>
        <v>1</v>
      </c>
      <c r="AH7" s="1">
        <f t="shared" si="4"/>
        <v>10</v>
      </c>
      <c r="AI7" s="1">
        <f t="shared" si="5"/>
        <v>14</v>
      </c>
      <c r="AJ7" s="68">
        <v>2</v>
      </c>
      <c r="AK7" s="199">
        <v>2</v>
      </c>
      <c r="AL7" s="69" t="str">
        <f>VLOOKUP(AJ7,$B$4:$C$17,2,FALSE)</f>
        <v>Podenzana</v>
      </c>
      <c r="AM7" s="65">
        <f>SUMIF($M$5:$M$16,AL7,$O$5:$O$16)+SUMIF($N$5:$N$16,AL7,$Q$5:$Q$16)</f>
        <v>2</v>
      </c>
      <c r="AN7" s="65">
        <f>SUMIF($M$5:$M$16,AL7,$AF$5:$AF$16)+SUMIF($N$5:$N$16,AL7,$AG$5:$AG$16)</f>
        <v>2</v>
      </c>
      <c r="AO7" s="66">
        <f t="shared" ref="AO7:AO14" si="6">SUMIF($M$5:$M$16,AL7,$AH$5:$AH$16)+SUMIF($N$5:$N$16,AL7,$AI$5:$AI$16)</f>
        <v>40</v>
      </c>
      <c r="AP7" s="66">
        <f t="shared" ref="AP7:AP9" si="7">SUMIF($M$5:$M$16,AL7,$AI$5:$AI$16)+SUMIF($N$5:$N$16,AL7,$AH$5:$AH$16)</f>
        <v>32</v>
      </c>
      <c r="AQ7" s="70">
        <f>AO7/AP7</f>
        <v>1.25</v>
      </c>
      <c r="AR7" s="32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2:253" customFormat="1" ht="15.75" thickBot="1" x14ac:dyDescent="0.3">
      <c r="B8" s="50">
        <v>4</v>
      </c>
      <c r="C8" s="61" t="s">
        <v>74</v>
      </c>
      <c r="D8" s="62" t="s">
        <v>62</v>
      </c>
      <c r="E8" s="34"/>
      <c r="F8" s="104">
        <v>4</v>
      </c>
      <c r="G8" s="105" t="s">
        <v>63</v>
      </c>
      <c r="H8" s="106">
        <v>1</v>
      </c>
      <c r="I8" s="107">
        <v>0.60416666666666663</v>
      </c>
      <c r="J8" s="106">
        <v>4</v>
      </c>
      <c r="K8" s="108">
        <v>6</v>
      </c>
      <c r="L8" s="108">
        <v>7</v>
      </c>
      <c r="M8" s="108" t="str">
        <f t="shared" si="0"/>
        <v>Rainbow</v>
      </c>
      <c r="N8" s="108" t="str">
        <f t="shared" si="1"/>
        <v>Lunezia2</v>
      </c>
      <c r="O8" s="109">
        <v>0</v>
      </c>
      <c r="P8" s="110" t="s">
        <v>6</v>
      </c>
      <c r="Q8" s="111">
        <v>1</v>
      </c>
      <c r="R8" s="110" t="s">
        <v>7</v>
      </c>
      <c r="S8" s="111">
        <v>8</v>
      </c>
      <c r="T8" s="110" t="s">
        <v>6</v>
      </c>
      <c r="U8" s="111">
        <v>14</v>
      </c>
      <c r="V8" s="110" t="s">
        <v>8</v>
      </c>
      <c r="W8" s="111"/>
      <c r="X8" s="110" t="s">
        <v>6</v>
      </c>
      <c r="Y8" s="111"/>
      <c r="Z8" s="110" t="s">
        <v>8</v>
      </c>
      <c r="AA8" s="111"/>
      <c r="AB8" s="110" t="s">
        <v>6</v>
      </c>
      <c r="AC8" s="111"/>
      <c r="AD8" s="112" t="s">
        <v>9</v>
      </c>
      <c r="AE8" s="31"/>
      <c r="AF8" s="31">
        <f t="shared" si="2"/>
        <v>0</v>
      </c>
      <c r="AG8" s="31">
        <f t="shared" si="3"/>
        <v>1</v>
      </c>
      <c r="AH8" s="1">
        <f t="shared" si="4"/>
        <v>8</v>
      </c>
      <c r="AI8" s="1">
        <f t="shared" si="5"/>
        <v>14</v>
      </c>
      <c r="AJ8" s="68">
        <v>3</v>
      </c>
      <c r="AK8" s="199">
        <v>3</v>
      </c>
      <c r="AL8" s="69" t="str">
        <f>VLOOKUP(AJ8,$B$4:$C$17,2,FALSE)</f>
        <v>SC. Pallavolo 2</v>
      </c>
      <c r="AM8" s="65">
        <f>SUMIF($M$5:$M$16,AL8,$O$5:$O$16)+SUMIF($N$5:$N$16,AL8,$Q$5:$Q$16)</f>
        <v>1</v>
      </c>
      <c r="AN8" s="65">
        <f>SUMIF($M$5:$M$16,AL8,$AF$5:$AF$16)+SUMIF($N$5:$N$16,AL8,$AG$5:$AG$16)</f>
        <v>1</v>
      </c>
      <c r="AO8" s="66">
        <f t="shared" si="6"/>
        <v>24</v>
      </c>
      <c r="AP8" s="66">
        <f t="shared" si="7"/>
        <v>47</v>
      </c>
      <c r="AQ8" s="70">
        <f>AO8/AP8</f>
        <v>0.51063829787234039</v>
      </c>
      <c r="AR8" s="32"/>
    </row>
    <row r="9" spans="2:253" customFormat="1" ht="15.75" thickBot="1" x14ac:dyDescent="0.3">
      <c r="B9" s="47">
        <v>5</v>
      </c>
      <c r="C9" s="57" t="s">
        <v>72</v>
      </c>
      <c r="D9" s="58" t="s">
        <v>63</v>
      </c>
      <c r="E9" s="34"/>
      <c r="F9" s="127">
        <v>5</v>
      </c>
      <c r="G9" s="128" t="s">
        <v>62</v>
      </c>
      <c r="H9" s="129">
        <v>2</v>
      </c>
      <c r="I9" s="130">
        <f>I5+TIME(,10,)</f>
        <v>0.61111111111111105</v>
      </c>
      <c r="J9" s="129">
        <v>1</v>
      </c>
      <c r="K9" s="131">
        <v>3</v>
      </c>
      <c r="L9" s="131">
        <v>1</v>
      </c>
      <c r="M9" s="131" t="str">
        <f t="shared" si="0"/>
        <v>SC. Pallavolo 2</v>
      </c>
      <c r="N9" s="131" t="str">
        <f t="shared" si="1"/>
        <v>SC. Pallavolo 1</v>
      </c>
      <c r="O9" s="132">
        <v>0</v>
      </c>
      <c r="P9" s="133" t="s">
        <v>6</v>
      </c>
      <c r="Q9" s="134">
        <v>1</v>
      </c>
      <c r="R9" s="135" t="s">
        <v>7</v>
      </c>
      <c r="S9" s="134">
        <v>6</v>
      </c>
      <c r="T9" s="133" t="s">
        <v>6</v>
      </c>
      <c r="U9" s="134">
        <v>16</v>
      </c>
      <c r="V9" s="133" t="s">
        <v>8</v>
      </c>
      <c r="W9" s="134"/>
      <c r="X9" s="133" t="s">
        <v>6</v>
      </c>
      <c r="Y9" s="134"/>
      <c r="Z9" s="133" t="s">
        <v>8</v>
      </c>
      <c r="AA9" s="134"/>
      <c r="AB9" s="133" t="s">
        <v>6</v>
      </c>
      <c r="AC9" s="134"/>
      <c r="AD9" s="136" t="s">
        <v>9</v>
      </c>
      <c r="AE9" s="31"/>
      <c r="AF9" s="31">
        <f t="shared" si="2"/>
        <v>0</v>
      </c>
      <c r="AG9" s="31">
        <f t="shared" si="3"/>
        <v>1</v>
      </c>
      <c r="AH9" s="1">
        <f t="shared" si="4"/>
        <v>6</v>
      </c>
      <c r="AI9" s="1">
        <f t="shared" si="5"/>
        <v>16</v>
      </c>
      <c r="AJ9" s="71">
        <v>4</v>
      </c>
      <c r="AK9" s="200">
        <v>4</v>
      </c>
      <c r="AL9" s="72" t="str">
        <f>VLOOKUP(AJ9,$B$4:$C$17,2,FALSE)</f>
        <v>lunezia1</v>
      </c>
      <c r="AM9" s="73">
        <f>SUMIF($M$5:$M$16,AL9,$O$5:$O$16)+SUMIF($N$5:$N$16,AL9,$Q$5:$Q$16)</f>
        <v>0</v>
      </c>
      <c r="AN9" s="73">
        <f>SUMIF($M$5:$M$16,AL9,$AF$5:$AF$16)+SUMIF($N$5:$N$16,AL9,$AG$5:$AG$16)</f>
        <v>0</v>
      </c>
      <c r="AO9" s="74">
        <f t="shared" si="6"/>
        <v>29</v>
      </c>
      <c r="AP9" s="74">
        <f t="shared" si="7"/>
        <v>35</v>
      </c>
      <c r="AQ9" s="75">
        <f>AO9/AP9</f>
        <v>0.82857142857142863</v>
      </c>
      <c r="AR9" s="32"/>
    </row>
    <row r="10" spans="2:253" customFormat="1" ht="15.75" thickBot="1" x14ac:dyDescent="0.3">
      <c r="B10" s="47">
        <v>6</v>
      </c>
      <c r="C10" s="59" t="s">
        <v>73</v>
      </c>
      <c r="D10" s="60" t="s">
        <v>63</v>
      </c>
      <c r="E10" s="34"/>
      <c r="F10" s="137">
        <v>6</v>
      </c>
      <c r="G10" s="118" t="s">
        <v>62</v>
      </c>
      <c r="H10" s="119">
        <v>2</v>
      </c>
      <c r="I10" s="120">
        <f t="shared" ref="I10:I16" si="8">I6+TIME(,10,)</f>
        <v>0.61111111111111105</v>
      </c>
      <c r="J10" s="119">
        <v>2</v>
      </c>
      <c r="K10" s="121">
        <v>4</v>
      </c>
      <c r="L10" s="121">
        <v>2</v>
      </c>
      <c r="M10" s="121" t="str">
        <f t="shared" si="0"/>
        <v>lunezia1</v>
      </c>
      <c r="N10" s="121" t="str">
        <f t="shared" si="1"/>
        <v>Podenzana</v>
      </c>
      <c r="O10" s="122">
        <v>0</v>
      </c>
      <c r="P10" s="123" t="s">
        <v>6</v>
      </c>
      <c r="Q10" s="124">
        <v>1</v>
      </c>
      <c r="R10" s="125" t="s">
        <v>7</v>
      </c>
      <c r="S10" s="124">
        <v>8</v>
      </c>
      <c r="T10" s="123" t="s">
        <v>6</v>
      </c>
      <c r="U10" s="124">
        <v>9</v>
      </c>
      <c r="V10" s="125" t="s">
        <v>8</v>
      </c>
      <c r="W10" s="124"/>
      <c r="X10" s="125" t="s">
        <v>6</v>
      </c>
      <c r="Y10" s="124"/>
      <c r="Z10" s="125" t="s">
        <v>8</v>
      </c>
      <c r="AA10" s="124"/>
      <c r="AB10" s="125" t="s">
        <v>6</v>
      </c>
      <c r="AC10" s="124"/>
      <c r="AD10" s="138" t="s">
        <v>9</v>
      </c>
      <c r="AE10" s="31"/>
      <c r="AF10" s="31">
        <f t="shared" si="2"/>
        <v>0</v>
      </c>
      <c r="AG10" s="31">
        <f t="shared" si="3"/>
        <v>1</v>
      </c>
      <c r="AH10" s="1">
        <f t="shared" si="4"/>
        <v>8</v>
      </c>
      <c r="AI10" s="1">
        <f t="shared" si="5"/>
        <v>9</v>
      </c>
      <c r="AJ10" s="35"/>
      <c r="AK10" s="35" t="s">
        <v>36</v>
      </c>
      <c r="AL10" s="148" t="s">
        <v>11</v>
      </c>
      <c r="AM10" s="36" t="s">
        <v>1</v>
      </c>
      <c r="AN10" s="36" t="s">
        <v>17</v>
      </c>
      <c r="AO10" s="38">
        <f t="shared" si="6"/>
        <v>0</v>
      </c>
      <c r="AP10" s="38" t="s">
        <v>15</v>
      </c>
      <c r="AQ10" s="37" t="s">
        <v>16</v>
      </c>
      <c r="AR10" s="32"/>
    </row>
    <row r="11" spans="2:253" customFormat="1" ht="15" x14ac:dyDescent="0.25">
      <c r="B11" s="47">
        <v>7</v>
      </c>
      <c r="C11" s="59" t="s">
        <v>67</v>
      </c>
      <c r="D11" s="60" t="s">
        <v>63</v>
      </c>
      <c r="E11" s="34"/>
      <c r="F11" s="137">
        <v>7</v>
      </c>
      <c r="G11" s="118" t="s">
        <v>63</v>
      </c>
      <c r="H11" s="119">
        <v>2</v>
      </c>
      <c r="I11" s="120">
        <f t="shared" si="8"/>
        <v>0.61111111111111105</v>
      </c>
      <c r="J11" s="119">
        <v>3</v>
      </c>
      <c r="K11" s="121">
        <v>7</v>
      </c>
      <c r="L11" s="121">
        <v>5</v>
      </c>
      <c r="M11" s="121" t="str">
        <f t="shared" si="0"/>
        <v>Lunezia2</v>
      </c>
      <c r="N11" s="121" t="str">
        <f t="shared" si="1"/>
        <v>SC. Pallavolo 3</v>
      </c>
      <c r="O11" s="126">
        <v>1</v>
      </c>
      <c r="P11" s="125" t="s">
        <v>6</v>
      </c>
      <c r="Q11" s="124">
        <v>0</v>
      </c>
      <c r="R11" s="125" t="s">
        <v>7</v>
      </c>
      <c r="S11" s="124">
        <v>8</v>
      </c>
      <c r="T11" s="125" t="s">
        <v>6</v>
      </c>
      <c r="U11" s="124">
        <v>7</v>
      </c>
      <c r="V11" s="125" t="s">
        <v>8</v>
      </c>
      <c r="W11" s="124"/>
      <c r="X11" s="125" t="s">
        <v>6</v>
      </c>
      <c r="Y11" s="124"/>
      <c r="Z11" s="125" t="s">
        <v>8</v>
      </c>
      <c r="AA11" s="124"/>
      <c r="AB11" s="125" t="s">
        <v>6</v>
      </c>
      <c r="AC11" s="124"/>
      <c r="AD11" s="138" t="s">
        <v>9</v>
      </c>
      <c r="AE11" s="31"/>
      <c r="AF11" s="31">
        <f t="shared" si="2"/>
        <v>1</v>
      </c>
      <c r="AG11" s="31">
        <f t="shared" si="3"/>
        <v>0</v>
      </c>
      <c r="AH11" s="1">
        <f t="shared" si="4"/>
        <v>8</v>
      </c>
      <c r="AI11" s="1">
        <f t="shared" si="5"/>
        <v>7</v>
      </c>
      <c r="AJ11" s="76">
        <v>5</v>
      </c>
      <c r="AK11" s="201">
        <v>4</v>
      </c>
      <c r="AL11" s="77" t="str">
        <f>VLOOKUP(AJ11,$B$4:$C$17,2,FALSE)</f>
        <v>SC. Pallavolo 3</v>
      </c>
      <c r="AM11" s="78">
        <f>SUMIF($M$5:$M$16,AL11,$O$5:$O$16)+SUMIF($N$5:$N$16,AL11,$Q$5:$Q$16)</f>
        <v>1</v>
      </c>
      <c r="AN11" s="78">
        <f>SUMIF($M$5:$M$16,AL11,$AF$5:$AF$16)+SUMIF($N$5:$N$16,AL11,$AG$5:$AG$16)</f>
        <v>1</v>
      </c>
      <c r="AO11" s="79">
        <f t="shared" si="6"/>
        <v>27</v>
      </c>
      <c r="AP11" s="79">
        <f>SUMIF($M$5:$M$16,AL11,$AI$5:$AI$16)+SUMIF($N$5:$N$16,AL11,$AH$5:$AH$16)</f>
        <v>30</v>
      </c>
      <c r="AQ11" s="80">
        <f>AO11/AP11</f>
        <v>0.9</v>
      </c>
      <c r="AR11" s="32"/>
    </row>
    <row r="12" spans="2:253" customFormat="1" ht="15.75" thickBot="1" x14ac:dyDescent="0.3">
      <c r="B12" s="48">
        <v>8</v>
      </c>
      <c r="C12" s="61" t="s">
        <v>68</v>
      </c>
      <c r="D12" s="62" t="s">
        <v>63</v>
      </c>
      <c r="E12" s="34"/>
      <c r="F12" s="139">
        <v>8</v>
      </c>
      <c r="G12" s="140" t="s">
        <v>63</v>
      </c>
      <c r="H12" s="141">
        <v>2</v>
      </c>
      <c r="I12" s="142">
        <f t="shared" si="8"/>
        <v>0.61111111111111105</v>
      </c>
      <c r="J12" s="141">
        <v>4</v>
      </c>
      <c r="K12" s="143">
        <v>8</v>
      </c>
      <c r="L12" s="143">
        <v>6</v>
      </c>
      <c r="M12" s="143" t="str">
        <f t="shared" si="0"/>
        <v>Lunezia3</v>
      </c>
      <c r="N12" s="143" t="str">
        <f t="shared" si="1"/>
        <v>Rainbow</v>
      </c>
      <c r="O12" s="144">
        <v>0</v>
      </c>
      <c r="P12" s="145" t="s">
        <v>6</v>
      </c>
      <c r="Q12" s="146">
        <v>1</v>
      </c>
      <c r="R12" s="145" t="s">
        <v>7</v>
      </c>
      <c r="S12" s="146">
        <v>4</v>
      </c>
      <c r="T12" s="145" t="s">
        <v>6</v>
      </c>
      <c r="U12" s="146">
        <v>10</v>
      </c>
      <c r="V12" s="145" t="s">
        <v>8</v>
      </c>
      <c r="W12" s="146"/>
      <c r="X12" s="145" t="s">
        <v>6</v>
      </c>
      <c r="Y12" s="146"/>
      <c r="Z12" s="145" t="s">
        <v>8</v>
      </c>
      <c r="AA12" s="146"/>
      <c r="AB12" s="145" t="s">
        <v>6</v>
      </c>
      <c r="AC12" s="146"/>
      <c r="AD12" s="147" t="s">
        <v>9</v>
      </c>
      <c r="AE12" s="31"/>
      <c r="AF12" s="31">
        <f t="shared" si="2"/>
        <v>0</v>
      </c>
      <c r="AG12" s="31">
        <f t="shared" si="3"/>
        <v>1</v>
      </c>
      <c r="AH12" s="1">
        <f t="shared" si="4"/>
        <v>4</v>
      </c>
      <c r="AI12" s="1">
        <f t="shared" si="5"/>
        <v>10</v>
      </c>
      <c r="AJ12" s="68">
        <v>6</v>
      </c>
      <c r="AK12" s="199">
        <v>3</v>
      </c>
      <c r="AL12" s="69" t="str">
        <f>VLOOKUP(AJ12,$B$4:$C$17,2,FALSE)</f>
        <v>Rainbow</v>
      </c>
      <c r="AM12" s="65">
        <f>SUMIF($M$5:$M$16,AL12,$O$5:$O$16)+SUMIF($N$5:$N$16,AL12,$Q$5:$Q$16)</f>
        <v>1</v>
      </c>
      <c r="AN12" s="65">
        <f>SUMIF($M$5:$M$16,AL12,$AF$5:$AF$16)+SUMIF($N$5:$N$16,AL12,$AG$5:$AG$16)</f>
        <v>1</v>
      </c>
      <c r="AO12" s="66">
        <f t="shared" si="6"/>
        <v>26</v>
      </c>
      <c r="AP12" s="66">
        <f t="shared" ref="AP12:AP14" si="9">SUMIF($M$5:$M$16,AL12,$AI$5:$AI$16)+SUMIF($N$5:$N$16,AL12,$AH$5:$AH$16)</f>
        <v>28</v>
      </c>
      <c r="AQ12" s="70">
        <f>AO12/AP12</f>
        <v>0.9285714285714286</v>
      </c>
      <c r="AR12" s="32"/>
    </row>
    <row r="13" spans="2:253" customFormat="1" ht="15" x14ac:dyDescent="0.25">
      <c r="B13" s="3"/>
      <c r="C13" s="1"/>
      <c r="D13" s="1"/>
      <c r="E13" s="9"/>
      <c r="F13" s="86">
        <v>9</v>
      </c>
      <c r="G13" s="87" t="s">
        <v>62</v>
      </c>
      <c r="H13" s="88">
        <v>3</v>
      </c>
      <c r="I13" s="89">
        <f t="shared" si="8"/>
        <v>0.61805555555555547</v>
      </c>
      <c r="J13" s="88">
        <v>1</v>
      </c>
      <c r="K13" s="90">
        <v>1</v>
      </c>
      <c r="L13" s="90">
        <v>2</v>
      </c>
      <c r="M13" s="90" t="str">
        <f t="shared" si="0"/>
        <v>SC. Pallavolo 1</v>
      </c>
      <c r="N13" s="90" t="str">
        <f t="shared" si="1"/>
        <v>Podenzana</v>
      </c>
      <c r="O13" s="113">
        <v>1</v>
      </c>
      <c r="P13" s="92" t="s">
        <v>6</v>
      </c>
      <c r="Q13" s="93">
        <v>0</v>
      </c>
      <c r="R13" s="92" t="s">
        <v>7</v>
      </c>
      <c r="S13" s="93">
        <v>16</v>
      </c>
      <c r="T13" s="92" t="s">
        <v>6</v>
      </c>
      <c r="U13" s="93">
        <v>9</v>
      </c>
      <c r="V13" s="92" t="s">
        <v>8</v>
      </c>
      <c r="W13" s="93"/>
      <c r="X13" s="92" t="s">
        <v>6</v>
      </c>
      <c r="Y13" s="93"/>
      <c r="Z13" s="92" t="s">
        <v>8</v>
      </c>
      <c r="AA13" s="93"/>
      <c r="AB13" s="92" t="s">
        <v>6</v>
      </c>
      <c r="AC13" s="93"/>
      <c r="AD13" s="94" t="s">
        <v>9</v>
      </c>
      <c r="AE13" s="31"/>
      <c r="AF13" s="31">
        <f t="shared" si="2"/>
        <v>1</v>
      </c>
      <c r="AG13" s="31">
        <f t="shared" si="3"/>
        <v>0</v>
      </c>
      <c r="AH13" s="1">
        <f t="shared" si="4"/>
        <v>16</v>
      </c>
      <c r="AI13" s="1">
        <f t="shared" si="5"/>
        <v>9</v>
      </c>
      <c r="AJ13" s="68">
        <v>7</v>
      </c>
      <c r="AK13" s="199">
        <v>1</v>
      </c>
      <c r="AL13" s="69" t="str">
        <f>VLOOKUP(AJ13,$B$4:$C$17,2,FALSE)</f>
        <v>Lunezia2</v>
      </c>
      <c r="AM13" s="65">
        <f>SUMIF($M$5:$M$16,AL13,$O$5:$O$16)+SUMIF($N$5:$N$16,AL13,$Q$5:$Q$16)</f>
        <v>2</v>
      </c>
      <c r="AN13" s="65">
        <f>SUMIF($M$5:$M$16,AL13,$AF$5:$AF$16)+SUMIF($N$5:$N$16,AL13,$AG$5:$AG$16)</f>
        <v>2</v>
      </c>
      <c r="AO13" s="66">
        <f t="shared" si="6"/>
        <v>31</v>
      </c>
      <c r="AP13" s="66">
        <f t="shared" si="9"/>
        <v>25</v>
      </c>
      <c r="AQ13" s="70">
        <f>AO13/AP13</f>
        <v>1.24</v>
      </c>
      <c r="AR13" s="32"/>
    </row>
    <row r="14" spans="2:253" customFormat="1" ht="15.75" thickBot="1" x14ac:dyDescent="0.3">
      <c r="B14" s="3"/>
      <c r="C14" s="1"/>
      <c r="D14" s="1"/>
      <c r="E14" s="33"/>
      <c r="F14" s="95">
        <v>10</v>
      </c>
      <c r="G14" s="96" t="s">
        <v>62</v>
      </c>
      <c r="H14" s="97">
        <v>3</v>
      </c>
      <c r="I14" s="98">
        <f t="shared" si="8"/>
        <v>0.61805555555555547</v>
      </c>
      <c r="J14" s="97">
        <v>2</v>
      </c>
      <c r="K14" s="99">
        <v>3</v>
      </c>
      <c r="L14" s="99">
        <v>4</v>
      </c>
      <c r="M14" s="99" t="str">
        <f t="shared" si="0"/>
        <v>SC. Pallavolo 2</v>
      </c>
      <c r="N14" s="99" t="str">
        <f t="shared" si="1"/>
        <v>lunezia1</v>
      </c>
      <c r="O14" s="100">
        <v>1</v>
      </c>
      <c r="P14" s="101" t="s">
        <v>6</v>
      </c>
      <c r="Q14" s="102">
        <v>0</v>
      </c>
      <c r="R14" s="101" t="s">
        <v>7</v>
      </c>
      <c r="S14" s="102">
        <v>10</v>
      </c>
      <c r="T14" s="101" t="s">
        <v>6</v>
      </c>
      <c r="U14" s="102">
        <v>9</v>
      </c>
      <c r="V14" s="101" t="s">
        <v>8</v>
      </c>
      <c r="W14" s="102"/>
      <c r="X14" s="101" t="s">
        <v>6</v>
      </c>
      <c r="Y14" s="102"/>
      <c r="Z14" s="101" t="s">
        <v>8</v>
      </c>
      <c r="AA14" s="102"/>
      <c r="AB14" s="101" t="s">
        <v>6</v>
      </c>
      <c r="AC14" s="102"/>
      <c r="AD14" s="103" t="s">
        <v>9</v>
      </c>
      <c r="AE14" s="31"/>
      <c r="AF14" s="31">
        <f t="shared" si="2"/>
        <v>1</v>
      </c>
      <c r="AG14" s="31">
        <f t="shared" si="3"/>
        <v>0</v>
      </c>
      <c r="AH14" s="1">
        <f t="shared" si="4"/>
        <v>10</v>
      </c>
      <c r="AI14" s="1">
        <f t="shared" si="5"/>
        <v>9</v>
      </c>
      <c r="AJ14" s="81">
        <v>8</v>
      </c>
      <c r="AK14" s="200">
        <v>2</v>
      </c>
      <c r="AL14" s="72" t="str">
        <f>VLOOKUP(AJ14,$B$4:$C$17,2,FALSE)</f>
        <v>Lunezia3</v>
      </c>
      <c r="AM14" s="73">
        <f>SUMIF($M$5:$M$16,AL14,$O$5:$O$16)+SUMIF($N$5:$N$16,AL14,$Q$5:$Q$16)</f>
        <v>2</v>
      </c>
      <c r="AN14" s="73">
        <f>SUMIF($M$5:$M$16,AL14,$AF$5:$AF$16)+SUMIF($N$5:$N$16,AL14,$AG$5:$AG$16)</f>
        <v>2</v>
      </c>
      <c r="AO14" s="74">
        <f t="shared" si="6"/>
        <v>28</v>
      </c>
      <c r="AP14" s="74">
        <f t="shared" si="9"/>
        <v>29</v>
      </c>
      <c r="AQ14" s="75">
        <f>AO14/AP14</f>
        <v>0.96551724137931039</v>
      </c>
      <c r="AR14" s="32"/>
    </row>
    <row r="15" spans="2:253" customFormat="1" ht="15" x14ac:dyDescent="0.25">
      <c r="B15" s="3"/>
      <c r="C15" s="1"/>
      <c r="D15" s="1"/>
      <c r="E15" s="34"/>
      <c r="F15" s="95">
        <v>11</v>
      </c>
      <c r="G15" s="96" t="s">
        <v>63</v>
      </c>
      <c r="H15" s="97">
        <v>3</v>
      </c>
      <c r="I15" s="98">
        <f t="shared" si="8"/>
        <v>0.61805555555555547</v>
      </c>
      <c r="J15" s="97">
        <v>3</v>
      </c>
      <c r="K15" s="99">
        <v>5</v>
      </c>
      <c r="L15" s="99">
        <v>6</v>
      </c>
      <c r="M15" s="99" t="str">
        <f t="shared" si="0"/>
        <v>SC. Pallavolo 3</v>
      </c>
      <c r="N15" s="99" t="str">
        <f t="shared" si="1"/>
        <v>Rainbow</v>
      </c>
      <c r="O15" s="100">
        <v>1</v>
      </c>
      <c r="P15" s="101" t="s">
        <v>6</v>
      </c>
      <c r="Q15" s="102">
        <v>0</v>
      </c>
      <c r="R15" s="101" t="s">
        <v>7</v>
      </c>
      <c r="S15" s="102">
        <v>10</v>
      </c>
      <c r="T15" s="101" t="s">
        <v>6</v>
      </c>
      <c r="U15" s="102">
        <v>8</v>
      </c>
      <c r="V15" s="101" t="s">
        <v>8</v>
      </c>
      <c r="W15" s="102"/>
      <c r="X15" s="101" t="s">
        <v>6</v>
      </c>
      <c r="Y15" s="102"/>
      <c r="Z15" s="101" t="s">
        <v>8</v>
      </c>
      <c r="AA15" s="102"/>
      <c r="AB15" s="101" t="s">
        <v>6</v>
      </c>
      <c r="AC15" s="102"/>
      <c r="AD15" s="103" t="s">
        <v>9</v>
      </c>
      <c r="AE15" s="31"/>
      <c r="AF15" s="31">
        <f t="shared" si="2"/>
        <v>1</v>
      </c>
      <c r="AG15" s="31">
        <f t="shared" si="3"/>
        <v>0</v>
      </c>
      <c r="AH15" s="1">
        <f t="shared" si="4"/>
        <v>10</v>
      </c>
      <c r="AI15" s="1">
        <f t="shared" si="5"/>
        <v>8</v>
      </c>
      <c r="AJ15" s="1"/>
      <c r="AK15" s="39"/>
      <c r="AL15" s="1"/>
      <c r="AM15" s="1"/>
      <c r="AN15" s="1"/>
      <c r="AO15" s="1"/>
      <c r="AP15" s="9"/>
      <c r="AQ15" s="9"/>
      <c r="AR15" s="32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2:253" customFormat="1" ht="15.75" thickBot="1" x14ac:dyDescent="0.3">
      <c r="B16" s="8"/>
      <c r="C16" s="1"/>
      <c r="D16" s="1"/>
      <c r="E16" s="34"/>
      <c r="F16" s="104">
        <v>12</v>
      </c>
      <c r="G16" s="105" t="s">
        <v>63</v>
      </c>
      <c r="H16" s="106">
        <v>3</v>
      </c>
      <c r="I16" s="107">
        <f t="shared" si="8"/>
        <v>0.61805555555555547</v>
      </c>
      <c r="J16" s="106">
        <v>4</v>
      </c>
      <c r="K16" s="108">
        <v>7</v>
      </c>
      <c r="L16" s="108">
        <v>8</v>
      </c>
      <c r="M16" s="108" t="str">
        <f t="shared" si="0"/>
        <v>Lunezia2</v>
      </c>
      <c r="N16" s="108" t="str">
        <f t="shared" si="1"/>
        <v>Lunezia3</v>
      </c>
      <c r="O16" s="115">
        <v>0</v>
      </c>
      <c r="P16" s="110" t="s">
        <v>6</v>
      </c>
      <c r="Q16" s="111">
        <v>1</v>
      </c>
      <c r="R16" s="110" t="s">
        <v>7</v>
      </c>
      <c r="S16" s="111">
        <v>9</v>
      </c>
      <c r="T16" s="110" t="s">
        <v>6</v>
      </c>
      <c r="U16" s="111">
        <v>10</v>
      </c>
      <c r="V16" s="110" t="s">
        <v>8</v>
      </c>
      <c r="W16" s="111"/>
      <c r="X16" s="110" t="s">
        <v>6</v>
      </c>
      <c r="Y16" s="111"/>
      <c r="Z16" s="110" t="s">
        <v>8</v>
      </c>
      <c r="AA16" s="111"/>
      <c r="AB16" s="110" t="s">
        <v>6</v>
      </c>
      <c r="AC16" s="111"/>
      <c r="AD16" s="112" t="s">
        <v>9</v>
      </c>
      <c r="AE16" s="40"/>
      <c r="AF16" s="31">
        <f t="shared" si="2"/>
        <v>0</v>
      </c>
      <c r="AG16" s="31">
        <f t="shared" si="3"/>
        <v>1</v>
      </c>
      <c r="AH16" s="1">
        <f t="shared" si="4"/>
        <v>9</v>
      </c>
      <c r="AI16" s="1">
        <f t="shared" si="5"/>
        <v>10</v>
      </c>
      <c r="AJ16" s="1"/>
      <c r="AK16" s="1"/>
      <c r="AL16" s="1"/>
      <c r="AM16" s="1"/>
      <c r="AN16" s="1"/>
      <c r="AO16" s="1"/>
      <c r="AP16" s="9"/>
      <c r="AQ16" s="9"/>
      <c r="AR16" s="32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2:253" customFormat="1" ht="15" x14ac:dyDescent="0.25">
      <c r="B17" s="8"/>
      <c r="C17" s="1"/>
      <c r="D17" s="1"/>
      <c r="E17" s="34"/>
      <c r="F17" s="34"/>
      <c r="G17" s="34"/>
      <c r="H17" s="41"/>
      <c r="I17" s="42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9"/>
      <c r="AI17" s="9"/>
      <c r="AJ17" s="9"/>
      <c r="AK17" s="9"/>
      <c r="AL17" s="1"/>
      <c r="AM17" s="1"/>
      <c r="AN17" s="1"/>
      <c r="AO17" s="1"/>
      <c r="AP17" s="1"/>
      <c r="AQ17" s="1"/>
      <c r="AR17" s="32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2:253" ht="15" hidden="1" customHeight="1" thickBot="1" x14ac:dyDescent="0.3"/>
    <row r="19" spans="2:253" ht="14.45" hidden="1" customHeight="1" x14ac:dyDescent="0.25"/>
    <row r="20" spans="2:253" ht="15" hidden="1" customHeight="1" thickBot="1" x14ac:dyDescent="0.3"/>
    <row r="21" spans="2:253" ht="14.45" hidden="1" customHeight="1" x14ac:dyDescent="0.25"/>
    <row r="22" spans="2:253" ht="14.45" hidden="1" customHeight="1" x14ac:dyDescent="0.25"/>
    <row r="23" spans="2:253" ht="14.45" hidden="1" customHeight="1" x14ac:dyDescent="0.25"/>
    <row r="24" spans="2:253" ht="15" hidden="1" customHeight="1" thickBot="1" x14ac:dyDescent="0.3"/>
    <row r="25" spans="2:253" ht="14.45" hidden="1" customHeight="1" x14ac:dyDescent="0.25"/>
    <row r="26" spans="2:253" ht="14.45" hidden="1" customHeight="1" x14ac:dyDescent="0.25"/>
    <row r="27" spans="2:253" ht="14.45" hidden="1" customHeight="1" x14ac:dyDescent="0.25"/>
    <row r="28" spans="2:253" ht="15" hidden="1" customHeight="1" thickBot="1" x14ac:dyDescent="0.3"/>
    <row r="29" spans="2:253" ht="15" hidden="1" x14ac:dyDescent="0.25"/>
    <row r="30" spans="2:253" ht="15" hidden="1" x14ac:dyDescent="0.25"/>
    <row r="31" spans="2:253" ht="15" hidden="1" x14ac:dyDescent="0.25"/>
    <row r="32" spans="2:253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</sheetData>
  <sheetProtection sheet="1" objects="1" scenarios="1" selectLockedCells="1"/>
  <dataConsolidate function="stdDev"/>
  <mergeCells count="5">
    <mergeCell ref="C1:C2"/>
    <mergeCell ref="D1:AQ1"/>
    <mergeCell ref="D2:AQ2"/>
    <mergeCell ref="M4:N4"/>
    <mergeCell ref="O4:AD4"/>
  </mergeCells>
  <conditionalFormatting sqref="AQ6:AQ14">
    <cfRule type="containsErrors" dxfId="0" priority="1">
      <formula>ISERROR(AQ6)</formula>
    </cfRule>
  </conditionalFormatting>
  <pageMargins left="0.25" right="0.25" top="0.75" bottom="0.75" header="0.3" footer="0.3"/>
  <pageSetup paperSize="9" scale="7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3"/>
  <sheetViews>
    <sheetView showGridLines="0" tabSelected="1" zoomScaleNormal="100" workbookViewId="0">
      <selection activeCell="N5" sqref="N5"/>
    </sheetView>
  </sheetViews>
  <sheetFormatPr defaultColWidth="0" defaultRowHeight="0" customHeight="1" zeroHeight="1" x14ac:dyDescent="0.25"/>
  <cols>
    <col min="1" max="1" width="1.7109375" style="1" customWidth="1"/>
    <col min="2" max="2" width="4.42578125" style="3" hidden="1" customWidth="1"/>
    <col min="3" max="3" width="20.7109375" style="1" customWidth="1"/>
    <col min="4" max="4" width="1.7109375" style="1" customWidth="1"/>
    <col min="5" max="5" width="4.85546875" style="1" customWidth="1"/>
    <col min="6" max="6" width="5.7109375" style="3" customWidth="1"/>
    <col min="7" max="7" width="6.28515625" style="2" customWidth="1"/>
    <col min="8" max="8" width="5.85546875" style="3" customWidth="1"/>
    <col min="9" max="9" width="9.28515625" style="3" bestFit="1" customWidth="1"/>
    <col min="10" max="11" width="6.7109375" style="1" hidden="1" customWidth="1"/>
    <col min="12" max="13" width="20.7109375" style="1" customWidth="1"/>
    <col min="14" max="16" width="2" style="1" bestFit="1" customWidth="1"/>
    <col min="17" max="17" width="1.5703125" style="1" bestFit="1" customWidth="1"/>
    <col min="18" max="18" width="3" style="1" bestFit="1" customWidth="1"/>
    <col min="19" max="19" width="1.7109375" style="1" bestFit="1" customWidth="1"/>
    <col min="20" max="20" width="3" style="1" bestFit="1" customWidth="1"/>
    <col min="21" max="21" width="1.5703125" style="1" hidden="1" customWidth="1"/>
    <col min="22" max="22" width="3" style="1" hidden="1" customWidth="1"/>
    <col min="23" max="23" width="1.7109375" style="1" hidden="1" customWidth="1"/>
    <col min="24" max="24" width="3" style="1" hidden="1" customWidth="1"/>
    <col min="25" max="25" width="1.5703125" style="1" hidden="1" customWidth="1"/>
    <col min="26" max="26" width="3" style="1" hidden="1" customWidth="1"/>
    <col min="27" max="27" width="1.7109375" style="1" hidden="1" customWidth="1"/>
    <col min="28" max="28" width="3" style="1" hidden="1" customWidth="1"/>
    <col min="29" max="29" width="1.5703125" style="1" bestFit="1" customWidth="1"/>
    <col min="30" max="30" width="1.7109375" style="1" customWidth="1"/>
    <col min="31" max="32" width="3.28515625" style="1" hidden="1" customWidth="1"/>
    <col min="33" max="33" width="6.28515625" style="1" hidden="1" customWidth="1"/>
    <col min="34" max="34" width="4.85546875" style="1" hidden="1" customWidth="1"/>
    <col min="35" max="35" width="3.42578125" style="1" customWidth="1"/>
    <col min="36" max="36" width="20.7109375" style="1" customWidth="1"/>
    <col min="37" max="37" width="4.42578125" style="1" customWidth="1"/>
    <col min="38" max="38" width="4.7109375" style="1" customWidth="1"/>
    <col min="39" max="40" width="4.28515625" style="1" customWidth="1"/>
    <col min="41" max="41" width="8.140625" style="1" customWidth="1"/>
    <col min="42" max="42" width="1.7109375" customWidth="1"/>
    <col min="43" max="43" width="0" hidden="1" customWidth="1"/>
    <col min="44" max="45" width="0" style="1" hidden="1" customWidth="1"/>
    <col min="46" max="16384" width="8.85546875" style="1" hidden="1"/>
  </cols>
  <sheetData>
    <row r="1" spans="2:256" s="5" customFormat="1" ht="15.75" thickBot="1" x14ac:dyDescent="0.3">
      <c r="B1" s="43"/>
      <c r="C1" s="202"/>
      <c r="D1" s="204" t="s">
        <v>64</v>
      </c>
      <c r="E1" s="210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6"/>
    </row>
    <row r="2" spans="2:256" s="12" customFormat="1" ht="15.75" thickBot="1" x14ac:dyDescent="0.3">
      <c r="B2" s="45"/>
      <c r="C2" s="203"/>
      <c r="D2" s="211" t="s">
        <v>66</v>
      </c>
      <c r="E2" s="212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9"/>
    </row>
    <row r="3" spans="2:256" customFormat="1" ht="15.75" thickBot="1" x14ac:dyDescent="0.3">
      <c r="B3" s="3"/>
      <c r="C3" s="13" t="s">
        <v>34</v>
      </c>
      <c r="D3" s="10"/>
      <c r="E3" s="10"/>
      <c r="F3" s="14" t="s">
        <v>35</v>
      </c>
      <c r="G3" s="2"/>
      <c r="H3" s="3"/>
      <c r="I3" s="3"/>
      <c r="J3" s="1"/>
      <c r="K3" s="1"/>
      <c r="L3" s="1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0"/>
      <c r="AE3" s="20" t="s">
        <v>18</v>
      </c>
      <c r="AF3" s="20" t="s">
        <v>19</v>
      </c>
      <c r="AG3" s="20" t="s">
        <v>20</v>
      </c>
      <c r="AH3" s="20" t="s">
        <v>21</v>
      </c>
      <c r="AI3" s="1"/>
      <c r="AJ3" s="4" t="s">
        <v>37</v>
      </c>
      <c r="AK3" s="1"/>
      <c r="AL3" s="1"/>
      <c r="AM3" s="1"/>
      <c r="AN3" s="1"/>
      <c r="AO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 customFormat="1" ht="15.75" thickBot="1" x14ac:dyDescent="0.3">
      <c r="B4" s="15" t="s">
        <v>33</v>
      </c>
      <c r="C4" s="227" t="s">
        <v>76</v>
      </c>
      <c r="D4" s="1"/>
      <c r="E4" s="213" t="s">
        <v>3</v>
      </c>
      <c r="F4" s="216" t="s">
        <v>4</v>
      </c>
      <c r="G4" s="217" t="s">
        <v>5</v>
      </c>
      <c r="H4" s="215" t="s">
        <v>0</v>
      </c>
      <c r="I4" s="215" t="s">
        <v>3</v>
      </c>
      <c r="J4" s="218" t="s">
        <v>12</v>
      </c>
      <c r="K4" s="218" t="s">
        <v>13</v>
      </c>
      <c r="L4" s="219" t="s">
        <v>27</v>
      </c>
      <c r="M4" s="220"/>
      <c r="N4" s="221" t="s">
        <v>28</v>
      </c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2"/>
      <c r="AD4" s="1"/>
      <c r="AE4" s="1"/>
      <c r="AF4" s="1"/>
      <c r="AG4" s="1"/>
      <c r="AH4" s="1"/>
      <c r="AI4" s="228"/>
      <c r="AJ4" s="224" t="s">
        <v>76</v>
      </c>
      <c r="AK4" s="229"/>
      <c r="AL4" s="229"/>
      <c r="AM4" s="229"/>
      <c r="AN4" s="229"/>
      <c r="AO4" s="230"/>
    </row>
    <row r="5" spans="2:256" customFormat="1" ht="15" x14ac:dyDescent="0.25">
      <c r="B5" s="16" t="s">
        <v>38</v>
      </c>
      <c r="C5" s="82" t="str">
        <f>IFERROR(VLOOKUP(1,Fase1!$AK$6:$AL$9,2,FALSE), "1^ Girone 4A")</f>
        <v>SC. Pallavolo 1</v>
      </c>
      <c r="D5" s="1"/>
      <c r="E5" s="150">
        <v>13</v>
      </c>
      <c r="F5" s="88">
        <v>4</v>
      </c>
      <c r="G5" s="89">
        <v>0.61805555555555558</v>
      </c>
      <c r="H5" s="88">
        <v>1</v>
      </c>
      <c r="I5" s="151" t="s">
        <v>54</v>
      </c>
      <c r="J5" s="152" t="s">
        <v>40</v>
      </c>
      <c r="K5" s="152" t="s">
        <v>45</v>
      </c>
      <c r="L5" s="152" t="str">
        <f t="shared" ref="L5:M8" si="0">VLOOKUP(J5,$B$4:$C$12,2,FALSE)</f>
        <v>SC. Pallavolo 2</v>
      </c>
      <c r="M5" s="152" t="str">
        <f t="shared" si="0"/>
        <v>SC. Pallavolo 3</v>
      </c>
      <c r="N5" s="153">
        <v>1</v>
      </c>
      <c r="O5" s="154" t="s">
        <v>6</v>
      </c>
      <c r="P5" s="155">
        <v>0</v>
      </c>
      <c r="Q5" s="156" t="s">
        <v>7</v>
      </c>
      <c r="R5" s="155">
        <v>22</v>
      </c>
      <c r="S5" s="156" t="s">
        <v>6</v>
      </c>
      <c r="T5" s="155">
        <v>7</v>
      </c>
      <c r="U5" s="156" t="s">
        <v>8</v>
      </c>
      <c r="V5" s="155"/>
      <c r="W5" s="156" t="s">
        <v>6</v>
      </c>
      <c r="X5" s="155"/>
      <c r="Y5" s="156" t="s">
        <v>8</v>
      </c>
      <c r="Z5" s="157"/>
      <c r="AA5" s="156" t="s">
        <v>6</v>
      </c>
      <c r="AB5" s="157"/>
      <c r="AC5" s="158" t="s">
        <v>9</v>
      </c>
      <c r="AD5" s="1"/>
      <c r="AE5" s="20">
        <f t="shared" ref="AE5:AE6" si="1">IF(N5&gt;P5,1,0)</f>
        <v>1</v>
      </c>
      <c r="AF5" s="20">
        <f t="shared" ref="AF5:AF6" si="2">IF(P5&gt;N5,1,0)</f>
        <v>0</v>
      </c>
      <c r="AG5" s="1">
        <f t="shared" ref="AG5:AG6" si="3">R5+V5+Z5</f>
        <v>22</v>
      </c>
      <c r="AH5" s="1">
        <f t="shared" ref="AH5:AH6" si="4">T5+X5+AB5</f>
        <v>7</v>
      </c>
      <c r="AI5" s="21" t="s">
        <v>22</v>
      </c>
      <c r="AJ5" s="22" t="str">
        <f>IF(N12&gt;P12,L12,IF(N12&lt;P12,M12,""))</f>
        <v>Podenzana</v>
      </c>
      <c r="AK5" s="22"/>
      <c r="AL5" s="22"/>
      <c r="AM5" s="22"/>
      <c r="AN5" s="22"/>
      <c r="AO5" s="23"/>
    </row>
    <row r="6" spans="2:256" customFormat="1" ht="15" x14ac:dyDescent="0.25">
      <c r="B6" s="17" t="s">
        <v>39</v>
      </c>
      <c r="C6" s="83" t="str">
        <f>IFERROR(VLOOKUP(2,Fase1!$AK$6:$AL$9,2,FALSE), "2^ Girone 4A")</f>
        <v>Podenzana</v>
      </c>
      <c r="D6" s="1"/>
      <c r="E6" s="159">
        <f t="shared" ref="E6:E12" si="5">E5+1</f>
        <v>14</v>
      </c>
      <c r="F6" s="97">
        <v>4</v>
      </c>
      <c r="G6" s="98">
        <v>0.61805555555555558</v>
      </c>
      <c r="H6" s="97">
        <v>2</v>
      </c>
      <c r="I6" s="160" t="s">
        <v>55</v>
      </c>
      <c r="J6" s="117" t="s">
        <v>44</v>
      </c>
      <c r="K6" s="117" t="s">
        <v>41</v>
      </c>
      <c r="L6" s="117" t="str">
        <f t="shared" si="0"/>
        <v>Rainbow</v>
      </c>
      <c r="M6" s="117" t="str">
        <f t="shared" si="0"/>
        <v>lunezia1</v>
      </c>
      <c r="N6" s="161">
        <v>0</v>
      </c>
      <c r="O6" s="162" t="s">
        <v>6</v>
      </c>
      <c r="P6" s="163">
        <v>1</v>
      </c>
      <c r="Q6" s="114" t="s">
        <v>7</v>
      </c>
      <c r="R6" s="163">
        <v>5</v>
      </c>
      <c r="S6" s="114" t="s">
        <v>6</v>
      </c>
      <c r="T6" s="163">
        <v>16</v>
      </c>
      <c r="U6" s="114" t="s">
        <v>8</v>
      </c>
      <c r="V6" s="163"/>
      <c r="W6" s="114" t="s">
        <v>6</v>
      </c>
      <c r="X6" s="163"/>
      <c r="Y6" s="114" t="s">
        <v>8</v>
      </c>
      <c r="Z6" s="164"/>
      <c r="AA6" s="114" t="s">
        <v>6</v>
      </c>
      <c r="AB6" s="164"/>
      <c r="AC6" s="165" t="s">
        <v>9</v>
      </c>
      <c r="AD6" s="1"/>
      <c r="AE6" s="20">
        <f t="shared" si="1"/>
        <v>0</v>
      </c>
      <c r="AF6" s="20">
        <f t="shared" si="2"/>
        <v>1</v>
      </c>
      <c r="AG6" s="1">
        <f t="shared" si="3"/>
        <v>5</v>
      </c>
      <c r="AH6" s="1">
        <f t="shared" si="4"/>
        <v>16</v>
      </c>
      <c r="AI6" s="6" t="s">
        <v>23</v>
      </c>
      <c r="AJ6" s="24" t="str">
        <f>IF(N12&lt;P12,L12,IF(N12&gt;P12,M12,""))</f>
        <v>SC. Pallavolo 1</v>
      </c>
      <c r="AK6" s="24"/>
      <c r="AL6" s="24"/>
      <c r="AM6" s="24"/>
      <c r="AN6" s="24"/>
      <c r="AO6" s="25"/>
    </row>
    <row r="7" spans="2:256" customFormat="1" ht="15" x14ac:dyDescent="0.25">
      <c r="B7" s="17" t="s">
        <v>40</v>
      </c>
      <c r="C7" s="83" t="str">
        <f>IFERROR(VLOOKUP(3,Fase1!$AK$6:$AL$9,2,FALSE), "3^ Girone 4A")</f>
        <v>SC. Pallavolo 2</v>
      </c>
      <c r="D7" s="1"/>
      <c r="E7" s="159">
        <f t="shared" si="5"/>
        <v>15</v>
      </c>
      <c r="F7" s="97">
        <v>4</v>
      </c>
      <c r="G7" s="98">
        <v>0.61805555555555558</v>
      </c>
      <c r="H7" s="97">
        <v>3</v>
      </c>
      <c r="I7" s="160" t="s">
        <v>56</v>
      </c>
      <c r="J7" s="117" t="s">
        <v>38</v>
      </c>
      <c r="K7" s="117" t="s">
        <v>43</v>
      </c>
      <c r="L7" s="117" t="str">
        <f t="shared" si="0"/>
        <v>SC. Pallavolo 1</v>
      </c>
      <c r="M7" s="117" t="str">
        <f t="shared" si="0"/>
        <v>Lunezia3</v>
      </c>
      <c r="N7" s="161">
        <v>1</v>
      </c>
      <c r="O7" s="162" t="s">
        <v>6</v>
      </c>
      <c r="P7" s="163">
        <v>0</v>
      </c>
      <c r="Q7" s="114" t="s">
        <v>7</v>
      </c>
      <c r="R7" s="163">
        <v>12</v>
      </c>
      <c r="S7" s="114" t="s">
        <v>6</v>
      </c>
      <c r="T7" s="163">
        <v>11</v>
      </c>
      <c r="U7" s="114" t="s">
        <v>8</v>
      </c>
      <c r="V7" s="163"/>
      <c r="W7" s="114" t="s">
        <v>6</v>
      </c>
      <c r="X7" s="163"/>
      <c r="Y7" s="114" t="s">
        <v>8</v>
      </c>
      <c r="Z7" s="164"/>
      <c r="AA7" s="114" t="s">
        <v>6</v>
      </c>
      <c r="AB7" s="164"/>
      <c r="AC7" s="165" t="s">
        <v>9</v>
      </c>
      <c r="AD7" s="20"/>
      <c r="AE7" s="20">
        <f>IF(N7&gt;P7,1,0)</f>
        <v>1</v>
      </c>
      <c r="AF7" s="20">
        <f>IF(P7&gt;N7,1,0)</f>
        <v>0</v>
      </c>
      <c r="AG7" s="1">
        <f>R7+V7+Z7</f>
        <v>12</v>
      </c>
      <c r="AH7" s="1">
        <f>T7+X7+AB7</f>
        <v>11</v>
      </c>
      <c r="AI7" s="6" t="s">
        <v>24</v>
      </c>
      <c r="AJ7" s="24" t="str">
        <f>IF(N11&gt;P11,L11,IF(N11&lt;P11,M11,""))</f>
        <v>Lunezia2</v>
      </c>
      <c r="AK7" s="24"/>
      <c r="AL7" s="24"/>
      <c r="AM7" s="24"/>
      <c r="AN7" s="24"/>
      <c r="AO7" s="25"/>
    </row>
    <row r="8" spans="2:256" customFormat="1" ht="15.75" thickBot="1" x14ac:dyDescent="0.3">
      <c r="B8" s="17" t="s">
        <v>41</v>
      </c>
      <c r="C8" s="84" t="str">
        <f>IFERROR(VLOOKUP(4,Fase1!$AK$6:$AL$9,2,FALSE), "4^ Girone 4A")</f>
        <v>lunezia1</v>
      </c>
      <c r="D8" s="1"/>
      <c r="E8" s="166">
        <f t="shared" si="5"/>
        <v>16</v>
      </c>
      <c r="F8" s="106">
        <v>4</v>
      </c>
      <c r="G8" s="107">
        <v>0.61805555555555558</v>
      </c>
      <c r="H8" s="106">
        <v>4</v>
      </c>
      <c r="I8" s="167" t="s">
        <v>57</v>
      </c>
      <c r="J8" s="168" t="s">
        <v>42</v>
      </c>
      <c r="K8" s="168" t="s">
        <v>39</v>
      </c>
      <c r="L8" s="168" t="str">
        <f t="shared" si="0"/>
        <v>Lunezia2</v>
      </c>
      <c r="M8" s="168" t="str">
        <f t="shared" si="0"/>
        <v>Podenzana</v>
      </c>
      <c r="N8" s="169">
        <v>0</v>
      </c>
      <c r="O8" s="170" t="s">
        <v>6</v>
      </c>
      <c r="P8" s="171">
        <v>1</v>
      </c>
      <c r="Q8" s="116" t="s">
        <v>7</v>
      </c>
      <c r="R8" s="171">
        <v>9</v>
      </c>
      <c r="S8" s="116" t="s">
        <v>6</v>
      </c>
      <c r="T8" s="171">
        <v>16</v>
      </c>
      <c r="U8" s="116" t="s">
        <v>8</v>
      </c>
      <c r="V8" s="171"/>
      <c r="W8" s="116" t="s">
        <v>6</v>
      </c>
      <c r="X8" s="171"/>
      <c r="Y8" s="116" t="s">
        <v>8</v>
      </c>
      <c r="Z8" s="172"/>
      <c r="AA8" s="116" t="s">
        <v>6</v>
      </c>
      <c r="AB8" s="172"/>
      <c r="AC8" s="173" t="s">
        <v>9</v>
      </c>
      <c r="AD8" s="1"/>
      <c r="AE8" s="20">
        <f t="shared" ref="AE8:AE12" si="6">IF(N8&gt;P8,1,0)</f>
        <v>0</v>
      </c>
      <c r="AF8" s="20">
        <f t="shared" ref="AF8:AF12" si="7">IF(P8&gt;N8,1,0)</f>
        <v>1</v>
      </c>
      <c r="AG8" s="1">
        <f t="shared" ref="AG8:AG12" si="8">R8+V8+Z8</f>
        <v>9</v>
      </c>
      <c r="AH8" s="1">
        <f t="shared" ref="AH8:AH12" si="9">T8+X8+AB8</f>
        <v>16</v>
      </c>
      <c r="AI8" s="6" t="s">
        <v>25</v>
      </c>
      <c r="AJ8" s="24" t="str">
        <f>IF(N11&lt;P11,L11,IF(N11&gt;P11,M11,""))</f>
        <v>Lunezia3</v>
      </c>
      <c r="AK8" s="24"/>
      <c r="AL8" s="24"/>
      <c r="AM8" s="24"/>
      <c r="AN8" s="24"/>
      <c r="AO8" s="25"/>
    </row>
    <row r="9" spans="2:256" customFormat="1" ht="15" x14ac:dyDescent="0.25">
      <c r="B9" s="18" t="s">
        <v>42</v>
      </c>
      <c r="C9" s="85" t="str">
        <f>IFERROR(VLOOKUP(1,Fase1!$AK$11:$AL$14,2,FALSE), "1^ Girone 4B")</f>
        <v>Lunezia2</v>
      </c>
      <c r="D9" s="1"/>
      <c r="E9" s="174">
        <f t="shared" si="5"/>
        <v>17</v>
      </c>
      <c r="F9" s="129">
        <v>5</v>
      </c>
      <c r="G9" s="130">
        <f>G5+TIME(,10,)</f>
        <v>0.625</v>
      </c>
      <c r="H9" s="129">
        <v>1</v>
      </c>
      <c r="I9" s="175" t="s">
        <v>58</v>
      </c>
      <c r="J9" s="176" t="s">
        <v>46</v>
      </c>
      <c r="K9" s="176" t="s">
        <v>50</v>
      </c>
      <c r="L9" s="176" t="str">
        <f>IF(N5&lt;P5,L5,IF(N5&gt;P5,M5,"Perdente 3A-4B"))</f>
        <v>SC. Pallavolo 3</v>
      </c>
      <c r="M9" s="176" t="str">
        <f>IF(N6&lt;P6,L6,IF(N6&gt;P6,M6,"Perdente 3B-4A"))</f>
        <v>Rainbow</v>
      </c>
      <c r="N9" s="177">
        <v>1</v>
      </c>
      <c r="O9" s="178" t="s">
        <v>6</v>
      </c>
      <c r="P9" s="179">
        <v>0</v>
      </c>
      <c r="Q9" s="135" t="s">
        <v>7</v>
      </c>
      <c r="R9" s="179">
        <v>9</v>
      </c>
      <c r="S9" s="135" t="s">
        <v>6</v>
      </c>
      <c r="T9" s="179">
        <v>8</v>
      </c>
      <c r="U9" s="156" t="s">
        <v>8</v>
      </c>
      <c r="V9" s="155"/>
      <c r="W9" s="156" t="s">
        <v>6</v>
      </c>
      <c r="X9" s="155"/>
      <c r="Y9" s="156" t="s">
        <v>8</v>
      </c>
      <c r="Z9" s="157"/>
      <c r="AA9" s="156" t="s">
        <v>6</v>
      </c>
      <c r="AB9" s="157"/>
      <c r="AC9" s="195" t="s">
        <v>9</v>
      </c>
      <c r="AD9" s="20"/>
      <c r="AE9" s="20">
        <f t="shared" si="6"/>
        <v>1</v>
      </c>
      <c r="AF9" s="20">
        <f t="shared" si="7"/>
        <v>0</v>
      </c>
      <c r="AG9" s="1">
        <f t="shared" si="8"/>
        <v>9</v>
      </c>
      <c r="AH9" s="1">
        <f t="shared" si="9"/>
        <v>8</v>
      </c>
      <c r="AI9" s="6" t="s">
        <v>29</v>
      </c>
      <c r="AJ9" s="24" t="str">
        <f>IF(N10&gt;P10,L10,IF(N10&lt;P10,M10,""))</f>
        <v>SC. Pallavolo 2</v>
      </c>
      <c r="AK9" s="24"/>
      <c r="AL9" s="24"/>
      <c r="AM9" s="24"/>
      <c r="AN9" s="24"/>
      <c r="AO9" s="25"/>
    </row>
    <row r="10" spans="2:256" customFormat="1" ht="15" x14ac:dyDescent="0.25">
      <c r="B10" s="18" t="s">
        <v>43</v>
      </c>
      <c r="C10" s="83" t="str">
        <f>IFERROR(VLOOKUP(2,Fase1!$AK$11:$AL$14,2,FALSE), "2^ Girone 4B")</f>
        <v>Lunezia3</v>
      </c>
      <c r="D10" s="1"/>
      <c r="E10" s="180">
        <f t="shared" si="5"/>
        <v>18</v>
      </c>
      <c r="F10" s="119">
        <v>5</v>
      </c>
      <c r="G10" s="120">
        <f t="shared" ref="G10:G12" si="10">G6+TIME(,10,)</f>
        <v>0.625</v>
      </c>
      <c r="H10" s="119">
        <v>2</v>
      </c>
      <c r="I10" s="181" t="s">
        <v>59</v>
      </c>
      <c r="J10" s="182" t="s">
        <v>47</v>
      </c>
      <c r="K10" s="182" t="s">
        <v>51</v>
      </c>
      <c r="L10" s="182" t="str">
        <f>IF(N5&gt;P5,L5,IF(N5&lt;P5,M5,"Vincente 3A-4B"))</f>
        <v>SC. Pallavolo 2</v>
      </c>
      <c r="M10" s="182" t="str">
        <f>IF(N6&gt;P6,L6,IF(N6&lt;P6,M6,"Vincente 3B-4A"))</f>
        <v>lunezia1</v>
      </c>
      <c r="N10" s="183">
        <v>1</v>
      </c>
      <c r="O10" s="184" t="s">
        <v>6</v>
      </c>
      <c r="P10" s="185">
        <v>0</v>
      </c>
      <c r="Q10" s="123" t="s">
        <v>7</v>
      </c>
      <c r="R10" s="185">
        <v>15</v>
      </c>
      <c r="S10" s="123" t="s">
        <v>6</v>
      </c>
      <c r="T10" s="185">
        <v>5</v>
      </c>
      <c r="U10" s="114" t="s">
        <v>8</v>
      </c>
      <c r="V10" s="163"/>
      <c r="W10" s="114" t="s">
        <v>6</v>
      </c>
      <c r="X10" s="163"/>
      <c r="Y10" s="114" t="s">
        <v>8</v>
      </c>
      <c r="Z10" s="164"/>
      <c r="AA10" s="114" t="s">
        <v>6</v>
      </c>
      <c r="AB10" s="164"/>
      <c r="AC10" s="196" t="s">
        <v>9</v>
      </c>
      <c r="AD10" s="20"/>
      <c r="AE10" s="20">
        <f t="shared" si="6"/>
        <v>1</v>
      </c>
      <c r="AF10" s="20">
        <f t="shared" si="7"/>
        <v>0</v>
      </c>
      <c r="AG10" s="1">
        <f t="shared" si="8"/>
        <v>15</v>
      </c>
      <c r="AH10" s="1">
        <f t="shared" si="9"/>
        <v>5</v>
      </c>
      <c r="AI10" s="6" t="s">
        <v>30</v>
      </c>
      <c r="AJ10" s="24" t="str">
        <f>IF(N10&lt;P10,L10,IF(N10&gt;P10,M10,""))</f>
        <v>lunezia1</v>
      </c>
      <c r="AK10" s="24"/>
      <c r="AL10" s="24"/>
      <c r="AM10" s="24"/>
      <c r="AN10" s="24"/>
      <c r="AO10" s="25"/>
    </row>
    <row r="11" spans="2:256" customFormat="1" ht="15" x14ac:dyDescent="0.25">
      <c r="B11" s="18" t="s">
        <v>44</v>
      </c>
      <c r="C11" s="83" t="str">
        <f>IFERROR(VLOOKUP(3,Fase1!$AK$11:$AL$14,2,FALSE), "3^ Girone 4B")</f>
        <v>Rainbow</v>
      </c>
      <c r="D11" s="9"/>
      <c r="E11" s="180">
        <f t="shared" si="5"/>
        <v>19</v>
      </c>
      <c r="F11" s="119">
        <v>5</v>
      </c>
      <c r="G11" s="186">
        <f t="shared" si="10"/>
        <v>0.625</v>
      </c>
      <c r="H11" s="119">
        <v>3</v>
      </c>
      <c r="I11" s="181" t="s">
        <v>60</v>
      </c>
      <c r="J11" s="182" t="s">
        <v>48</v>
      </c>
      <c r="K11" s="182" t="s">
        <v>52</v>
      </c>
      <c r="L11" s="182" t="str">
        <f>IF(N7&lt;P7,L7,IF(N7&gt;P7,M7,"Perdente 1A-2B"))</f>
        <v>Lunezia3</v>
      </c>
      <c r="M11" s="182" t="str">
        <f>IF(N8&lt;P8,L8,IF(N8&gt;P8,M8,"Perdente 1B-2A"))</f>
        <v>Lunezia2</v>
      </c>
      <c r="N11" s="183">
        <v>0</v>
      </c>
      <c r="O11" s="184" t="s">
        <v>6</v>
      </c>
      <c r="P11" s="185">
        <v>1</v>
      </c>
      <c r="Q11" s="123" t="s">
        <v>7</v>
      </c>
      <c r="R11" s="185">
        <v>13</v>
      </c>
      <c r="S11" s="123" t="s">
        <v>6</v>
      </c>
      <c r="T11" s="185">
        <v>14</v>
      </c>
      <c r="U11" s="114" t="s">
        <v>8</v>
      </c>
      <c r="V11" s="163"/>
      <c r="W11" s="114" t="s">
        <v>6</v>
      </c>
      <c r="X11" s="163"/>
      <c r="Y11" s="114" t="s">
        <v>8</v>
      </c>
      <c r="Z11" s="164"/>
      <c r="AA11" s="114" t="s">
        <v>6</v>
      </c>
      <c r="AB11" s="164"/>
      <c r="AC11" s="196" t="s">
        <v>9</v>
      </c>
      <c r="AD11" s="20"/>
      <c r="AE11" s="20">
        <f t="shared" si="6"/>
        <v>0</v>
      </c>
      <c r="AF11" s="20">
        <f t="shared" si="7"/>
        <v>1</v>
      </c>
      <c r="AG11" s="1">
        <f t="shared" si="8"/>
        <v>13</v>
      </c>
      <c r="AH11" s="1">
        <f t="shared" si="9"/>
        <v>14</v>
      </c>
      <c r="AI11" s="6" t="s">
        <v>31</v>
      </c>
      <c r="AJ11" s="24" t="str">
        <f>IF(N9&gt;P9,L9,IF(N9&lt;P9,M9,""))</f>
        <v>SC. Pallavolo 3</v>
      </c>
      <c r="AK11" s="24"/>
      <c r="AL11" s="24"/>
      <c r="AM11" s="24"/>
      <c r="AN11" s="24"/>
      <c r="AO11" s="25"/>
    </row>
    <row r="12" spans="2:256" customFormat="1" ht="15.75" thickBot="1" x14ac:dyDescent="0.3">
      <c r="B12" s="19" t="s">
        <v>45</v>
      </c>
      <c r="C12" s="84" t="str">
        <f>IFERROR(VLOOKUP(4,Fase1!$AK$11:$AL$14,2,FALSE), "4^ Girone 4B")</f>
        <v>SC. Pallavolo 3</v>
      </c>
      <c r="D12" s="9"/>
      <c r="E12" s="187">
        <f t="shared" si="5"/>
        <v>20</v>
      </c>
      <c r="F12" s="141">
        <v>5</v>
      </c>
      <c r="G12" s="188">
        <f t="shared" si="10"/>
        <v>0.625</v>
      </c>
      <c r="H12" s="141">
        <v>4</v>
      </c>
      <c r="I12" s="189" t="s">
        <v>61</v>
      </c>
      <c r="J12" s="190" t="s">
        <v>49</v>
      </c>
      <c r="K12" s="190" t="s">
        <v>53</v>
      </c>
      <c r="L12" s="190" t="str">
        <f>IF(N7&gt;P7,L7,IF(N7&lt;P7,M7,"Vincente 1A-2B"))</f>
        <v>SC. Pallavolo 1</v>
      </c>
      <c r="M12" s="190" t="str">
        <f>IF(N8&gt;P8,L8,IF(N8&lt;P8,M8,"Vincente 1B-2A"))</f>
        <v>Podenzana</v>
      </c>
      <c r="N12" s="191">
        <v>0</v>
      </c>
      <c r="O12" s="192" t="s">
        <v>6</v>
      </c>
      <c r="P12" s="193">
        <v>1</v>
      </c>
      <c r="Q12" s="194" t="s">
        <v>7</v>
      </c>
      <c r="R12" s="193">
        <v>14</v>
      </c>
      <c r="S12" s="194" t="s">
        <v>6</v>
      </c>
      <c r="T12" s="193">
        <v>15</v>
      </c>
      <c r="U12" s="116" t="s">
        <v>8</v>
      </c>
      <c r="V12" s="171"/>
      <c r="W12" s="116" t="s">
        <v>6</v>
      </c>
      <c r="X12" s="171"/>
      <c r="Y12" s="116" t="s">
        <v>8</v>
      </c>
      <c r="Z12" s="172"/>
      <c r="AA12" s="116" t="s">
        <v>6</v>
      </c>
      <c r="AB12" s="172"/>
      <c r="AC12" s="197" t="s">
        <v>9</v>
      </c>
      <c r="AD12" s="20"/>
      <c r="AE12" s="20">
        <f t="shared" si="6"/>
        <v>0</v>
      </c>
      <c r="AF12" s="20">
        <f t="shared" si="7"/>
        <v>1</v>
      </c>
      <c r="AG12" s="1">
        <f t="shared" si="8"/>
        <v>14</v>
      </c>
      <c r="AH12" s="1">
        <f t="shared" si="9"/>
        <v>15</v>
      </c>
      <c r="AI12" s="7" t="s">
        <v>32</v>
      </c>
      <c r="AJ12" s="26" t="str">
        <f>IF(N9&lt;P9,L9,IF(N9&gt;P9,M9,""))</f>
        <v>Rainbow</v>
      </c>
      <c r="AK12" s="26"/>
      <c r="AL12" s="26"/>
      <c r="AM12" s="26"/>
      <c r="AN12" s="26"/>
      <c r="AO12" s="27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customFormat="1" ht="15" x14ac:dyDescent="0.25">
      <c r="B13" s="1"/>
      <c r="C13" s="1"/>
      <c r="D13" s="9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20"/>
      <c r="AE13" s="20"/>
      <c r="AF13" s="20"/>
      <c r="AG13" s="1"/>
      <c r="AH13" s="1"/>
      <c r="AI13" s="1"/>
      <c r="AJ13" s="1"/>
      <c r="AK13" s="1"/>
      <c r="AL13" s="1"/>
      <c r="AM13" s="1"/>
      <c r="AN13" s="1"/>
      <c r="AO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</sheetData>
  <sheetProtection sheet="1" objects="1" scenarios="1" selectLockedCells="1"/>
  <dataConsolidate function="stdDev"/>
  <mergeCells count="5">
    <mergeCell ref="C1:C2"/>
    <mergeCell ref="D1:AO1"/>
    <mergeCell ref="D2:AO2"/>
    <mergeCell ref="L4:M4"/>
    <mergeCell ref="N4:AC4"/>
  </mergeCells>
  <pageMargins left="0.25" right="0.25" top="0.75" bottom="0.75" header="0.3" footer="0.3"/>
  <pageSetup paperSize="9" scale="78" orientation="landscape" horizontalDpi="1200" verticalDpi="1200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Fase1</vt:lpstr>
      <vt:lpstr>Fase2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Fipav levante</cp:lastModifiedBy>
  <cp:lastPrinted>2018-06-03T15:46:01Z</cp:lastPrinted>
  <dcterms:created xsi:type="dcterms:W3CDTF">2017-02-21T19:23:01Z</dcterms:created>
  <dcterms:modified xsi:type="dcterms:W3CDTF">2023-04-29T14:03:09Z</dcterms:modified>
  <cp:category/>
</cp:coreProperties>
</file>